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Colombia Compra Eficiente\CONTABILIDAD\Estados Financieros\Noviembre 2016\"/>
    </mc:Choice>
  </mc:AlternateContent>
  <bookViews>
    <workbookView xWindow="240" yWindow="975" windowWidth="20730" windowHeight="9585"/>
  </bookViews>
  <sheets>
    <sheet name="Balance " sheetId="5" r:id="rId1"/>
    <sheet name="Est. Act. FESA" sheetId="2" r:id="rId2"/>
    <sheet name="Est. Cambio Pat. " sheetId="11" r:id="rId3"/>
    <sheet name="Flujo de efectivo " sheetId="14" r:id="rId4"/>
    <sheet name="Hoja1 " sheetId="9" r:id="rId5"/>
  </sheets>
  <externalReferences>
    <externalReference r:id="rId6"/>
  </externalReferences>
  <definedNames>
    <definedName name="_xlnm.Print_Area" localSheetId="0">'Balance '!$A$1:$M$75</definedName>
    <definedName name="_xlnm.Print_Area" localSheetId="1">'Est. Act. FESA'!$A$1:$J$80</definedName>
  </definedNames>
  <calcPr calcId="152511"/>
</workbook>
</file>

<file path=xl/calcChain.xml><?xml version="1.0" encoding="utf-8"?>
<calcChain xmlns="http://schemas.openxmlformats.org/spreadsheetml/2006/main">
  <c r="L59" i="5" l="1"/>
  <c r="L56" i="5"/>
  <c r="L55" i="5"/>
  <c r="J41" i="5"/>
  <c r="J59" i="5" l="1"/>
  <c r="J58" i="5"/>
  <c r="J56" i="5"/>
  <c r="J55" i="5"/>
  <c r="J52" i="5"/>
  <c r="D55" i="5"/>
  <c r="D52" i="5"/>
  <c r="G64" i="2"/>
  <c r="G49" i="2"/>
  <c r="G43" i="2"/>
  <c r="G39" i="2"/>
  <c r="G35" i="2"/>
  <c r="G34" i="2"/>
  <c r="G33" i="2"/>
  <c r="G32" i="2"/>
  <c r="G30" i="2"/>
  <c r="G24" i="2"/>
  <c r="G20" i="2"/>
  <c r="G19" i="2"/>
  <c r="G15" i="2"/>
  <c r="J43" i="5"/>
  <c r="J40" i="5"/>
  <c r="J39" i="5"/>
  <c r="J28" i="5"/>
  <c r="J25" i="5"/>
  <c r="J19" i="5"/>
  <c r="J18" i="5"/>
  <c r="J17" i="5"/>
  <c r="D45" i="5"/>
  <c r="D44" i="5"/>
  <c r="D40" i="5"/>
  <c r="D39" i="5"/>
  <c r="D38" i="5"/>
  <c r="D37" i="5"/>
  <c r="D36" i="5"/>
  <c r="D35" i="5"/>
  <c r="D34" i="5"/>
  <c r="D27" i="5"/>
  <c r="D24" i="5"/>
  <c r="D16" i="5"/>
  <c r="D15" i="5"/>
  <c r="G14" i="2" l="1"/>
  <c r="G18" i="2"/>
  <c r="I14" i="2" l="1"/>
  <c r="D26" i="5"/>
  <c r="F26" i="5"/>
  <c r="J57" i="5" l="1"/>
  <c r="J54" i="5"/>
  <c r="J51" i="5" l="1"/>
  <c r="J50" i="5" s="1"/>
  <c r="F54" i="5" l="1"/>
  <c r="F51" i="5"/>
  <c r="L57" i="5"/>
  <c r="L54" i="5"/>
  <c r="L51" i="5"/>
  <c r="F50" i="5" l="1"/>
  <c r="L50" i="5"/>
  <c r="F33" i="5"/>
  <c r="D51" i="5" l="1"/>
  <c r="J15" i="5" l="1"/>
  <c r="J27" i="5"/>
  <c r="J23" i="5"/>
  <c r="L23" i="5"/>
  <c r="F42" i="5" l="1"/>
  <c r="D33" i="5" l="1"/>
  <c r="G29" i="2"/>
  <c r="L63" i="14" l="1"/>
  <c r="K63" i="14"/>
  <c r="L58" i="14"/>
  <c r="K58" i="14"/>
  <c r="L48" i="14"/>
  <c r="K48" i="14"/>
  <c r="K49" i="14" s="1"/>
  <c r="L47" i="14"/>
  <c r="K47" i="14"/>
  <c r="K43" i="14"/>
  <c r="L42" i="14"/>
  <c r="K42" i="14"/>
  <c r="L41" i="14"/>
  <c r="K41" i="14"/>
  <c r="L40" i="14"/>
  <c r="K40" i="14"/>
  <c r="L39" i="14"/>
  <c r="K39" i="14"/>
  <c r="K44" i="14" s="1"/>
  <c r="L35" i="14"/>
  <c r="K35" i="14"/>
  <c r="L32" i="14"/>
  <c r="L36" i="14" s="1"/>
  <c r="K32" i="14"/>
  <c r="K23" i="14"/>
  <c r="L22" i="14"/>
  <c r="K22" i="14"/>
  <c r="L21" i="14"/>
  <c r="K21" i="14"/>
  <c r="L20" i="14"/>
  <c r="K15" i="14"/>
  <c r="L14" i="14"/>
  <c r="L17" i="14" s="1"/>
  <c r="K14" i="14"/>
  <c r="L9" i="14"/>
  <c r="L49" i="14" l="1"/>
  <c r="K17" i="14"/>
  <c r="K46" i="14" s="1"/>
  <c r="K50" i="14" s="1"/>
  <c r="L24" i="14"/>
  <c r="L46" i="14" s="1"/>
  <c r="L50" i="14" s="1"/>
  <c r="L44" i="14"/>
  <c r="K36" i="14"/>
  <c r="K24" i="14"/>
  <c r="B22" i="9"/>
  <c r="D94" i="9" l="1"/>
  <c r="B94" i="9"/>
  <c r="D88" i="9"/>
  <c r="B88" i="9"/>
  <c r="B81" i="9"/>
  <c r="B82" i="9" s="1"/>
  <c r="D82" i="9"/>
  <c r="D41" i="9"/>
  <c r="B41" i="9"/>
  <c r="D42" i="5"/>
  <c r="K17" i="11" l="1"/>
  <c r="K27" i="11" s="1"/>
  <c r="K7" i="11" s="1"/>
  <c r="K13" i="11"/>
  <c r="D33" i="9" l="1"/>
  <c r="B33" i="9"/>
  <c r="F23" i="5"/>
  <c r="K6" i="11" l="1"/>
  <c r="I47" i="2" l="1"/>
  <c r="I42" i="2" l="1"/>
  <c r="L27" i="5"/>
  <c r="G42" i="2" l="1"/>
  <c r="G37" i="2" l="1"/>
  <c r="G47" i="2"/>
  <c r="G60" i="2"/>
  <c r="G58" i="2" s="1"/>
  <c r="D14" i="5"/>
  <c r="D18" i="5"/>
  <c r="D23" i="5"/>
  <c r="J30" i="5"/>
  <c r="J12" i="5" s="1"/>
  <c r="G66" i="2"/>
  <c r="I66" i="2"/>
  <c r="D54" i="5"/>
  <c r="D50" i="5" s="1"/>
  <c r="G22" i="2"/>
  <c r="G12" i="2" s="1"/>
  <c r="I37" i="2"/>
  <c r="I29" i="2"/>
  <c r="L15" i="5"/>
  <c r="L30" i="5"/>
  <c r="F14" i="5"/>
  <c r="F18" i="5"/>
  <c r="I18" i="2"/>
  <c r="I22" i="2"/>
  <c r="I60" i="2"/>
  <c r="I58" i="2" s="1"/>
  <c r="G63" i="2"/>
  <c r="B69" i="9"/>
  <c r="D69" i="9"/>
  <c r="K23" i="11"/>
  <c r="D116" i="9"/>
  <c r="B116" i="9"/>
  <c r="D110" i="9"/>
  <c r="B110" i="9"/>
  <c r="D63" i="9"/>
  <c r="D55" i="9"/>
  <c r="B55" i="9"/>
  <c r="D21" i="9"/>
  <c r="D22" i="9" s="1"/>
  <c r="D11" i="9"/>
  <c r="B11" i="9"/>
  <c r="D16" i="9"/>
  <c r="B16" i="9"/>
  <c r="I6" i="9"/>
  <c r="B3" i="9"/>
  <c r="H6" i="9"/>
  <c r="B63" i="9"/>
  <c r="D104" i="9"/>
  <c r="B104" i="9"/>
  <c r="A75" i="9"/>
  <c r="B151" i="9"/>
  <c r="D148" i="9"/>
  <c r="A159" i="9"/>
  <c r="A10" i="9"/>
  <c r="A9" i="9"/>
  <c r="I63" i="2"/>
  <c r="G27" i="2" l="1"/>
  <c r="L12" i="5"/>
  <c r="I12" i="2"/>
  <c r="D12" i="5"/>
  <c r="K8" i="11"/>
  <c r="B5" i="9"/>
  <c r="B50" i="9"/>
  <c r="D31" i="5"/>
  <c r="D50" i="9"/>
  <c r="F31" i="5"/>
  <c r="I27" i="2"/>
  <c r="F12" i="5"/>
  <c r="D5" i="9"/>
  <c r="I53" i="2" l="1"/>
  <c r="I55" i="2" s="1"/>
  <c r="I70" i="2" s="1"/>
  <c r="L41" i="5" s="1"/>
  <c r="F47" i="5"/>
  <c r="D47" i="5"/>
  <c r="G53" i="2"/>
  <c r="G55" i="2" s="1"/>
  <c r="G70" i="2" s="1"/>
  <c r="J37" i="5" l="1"/>
  <c r="J33" i="5" s="1"/>
  <c r="J47" i="5" s="1"/>
  <c r="N47" i="5" s="1"/>
  <c r="B77" i="9"/>
  <c r="L37" i="5"/>
  <c r="L33" i="5" s="1"/>
  <c r="L47" i="5" l="1"/>
  <c r="P47" i="5" s="1"/>
  <c r="D77" i="9"/>
</calcChain>
</file>

<file path=xl/sharedStrings.xml><?xml version="1.0" encoding="utf-8"?>
<sst xmlns="http://schemas.openxmlformats.org/spreadsheetml/2006/main" count="399" uniqueCount="224">
  <si>
    <t>BALANCE GENERAL</t>
  </si>
  <si>
    <t>ACTIVO CORRIENTE</t>
  </si>
  <si>
    <t>EFECTIVO</t>
  </si>
  <si>
    <t>Depósitos en Instituciones Financieras</t>
  </si>
  <si>
    <t>TOTAL ACTIVO</t>
  </si>
  <si>
    <t>PASIVO CORRIENTE</t>
  </si>
  <si>
    <t>CUENTAS POR PAGAR</t>
  </si>
  <si>
    <t>Acreedores</t>
  </si>
  <si>
    <t>PATRIMONIO</t>
  </si>
  <si>
    <t>TOTAL PASIVO Y PATRIMONIO</t>
  </si>
  <si>
    <t>ESTADO DE ACTIVIDAD FINANCIERA, ECONÓMICA, SOCIAL Y AMBIENTAL</t>
  </si>
  <si>
    <t>OPERACIONES INTERINSTITUCIONALES</t>
  </si>
  <si>
    <t>ACTIVIDADES ORDINARIAS</t>
  </si>
  <si>
    <t>Fondos Recibidos</t>
  </si>
  <si>
    <t>GASTOS OPERACIONALES</t>
  </si>
  <si>
    <t>DE ADMINISTRACIÓN</t>
  </si>
  <si>
    <t>Sueldos y Salarios</t>
  </si>
  <si>
    <t>Contribuciones Efectivas</t>
  </si>
  <si>
    <t>Aportes Sobre la Nómina</t>
  </si>
  <si>
    <t>Generales</t>
  </si>
  <si>
    <t>ACTIVO</t>
  </si>
  <si>
    <t>FIRMA REPRESENTANTE LEGAL</t>
  </si>
  <si>
    <t>FIRMA CONTADOR</t>
  </si>
  <si>
    <t>INGRESOS OPERACIONALES</t>
  </si>
  <si>
    <t>EXCEDENTE (DÉFICIT ) OPERACIONAL</t>
  </si>
  <si>
    <t>EXCEDENTE (DÉFICIT ) DEL EJERCICIO</t>
  </si>
  <si>
    <t>Cuenta Contable</t>
  </si>
  <si>
    <t>Banco</t>
  </si>
  <si>
    <t>Cuenta</t>
  </si>
  <si>
    <t>en Miles $</t>
  </si>
  <si>
    <t>Bancolombia - Servicios Personales</t>
  </si>
  <si>
    <t>TOTAL EFECTIVO</t>
  </si>
  <si>
    <t>TOTAL</t>
  </si>
  <si>
    <t>TOTAL DEUDORES</t>
  </si>
  <si>
    <t>TOTAL CUENTAS POR PAGAR</t>
  </si>
  <si>
    <t>TOTAL PASIVOS ESTIMADOS</t>
  </si>
  <si>
    <t>Resultados del Ejercicio</t>
  </si>
  <si>
    <t>TOTAL OPERACIONES INTERINSTITUCIONALES</t>
  </si>
  <si>
    <t>Aportes sobre la Nómina</t>
  </si>
  <si>
    <t>TOTAL DE ADMINISTRACIÓN</t>
  </si>
  <si>
    <t>Periodo Actual</t>
  </si>
  <si>
    <t>Periodo Anterior</t>
  </si>
  <si>
    <t>PASIVO
PATRIMONIO</t>
  </si>
  <si>
    <t>Concepto</t>
  </si>
  <si>
    <t>(Cifras en miles de pesos)</t>
  </si>
  <si>
    <t>(Presentación por Cuentas)</t>
  </si>
  <si>
    <t>PATRIMONIO INSTITUCIONAL</t>
  </si>
  <si>
    <t>Retención en la Fuente e Impuesto de Timbre</t>
  </si>
  <si>
    <t>EXCEDENTE (DÉFICIT ) DE ACTIVIDADES ORDINARIAS</t>
  </si>
  <si>
    <t>MARÍA MARGARITA ZULETA G.</t>
  </si>
  <si>
    <t>MARÍA MARGARITA ZULETA GONZÁLEZ</t>
  </si>
  <si>
    <t>Caja</t>
  </si>
  <si>
    <t>DE OPERACIÓN</t>
  </si>
  <si>
    <t>TOTAL DE OPERACIÓN</t>
  </si>
  <si>
    <t>AGENCIA NACIONAL DE CONTRATACIÓN PÚBLICA -COLOMBIA COMPRA EFICIENTE-</t>
  </si>
  <si>
    <t>Adquisición de Bienes y Servicios Nacionales</t>
  </si>
  <si>
    <t>Salarios y Prestaciones Sociales</t>
  </si>
  <si>
    <t>Contribuciones Imputadas</t>
  </si>
  <si>
    <t>Dic/31/2012</t>
  </si>
  <si>
    <t>(Ver Certificación Anexa)</t>
  </si>
  <si>
    <t>Directora General</t>
  </si>
  <si>
    <t>Bancolombia - Caja Menor Gastos Generales</t>
  </si>
  <si>
    <t>PROPIEDADES, PLANTA Y EQUIPO</t>
  </si>
  <si>
    <t>Maquinaria y Equipo</t>
  </si>
  <si>
    <t>Depreciación Acumulada</t>
  </si>
  <si>
    <t>ACTIVO NO CORRIENTE</t>
  </si>
  <si>
    <t>TOTAL PROPIEDADES, PLANTA Y EQUIPO</t>
  </si>
  <si>
    <t>Prima de Servicios</t>
  </si>
  <si>
    <t>Prima de Vacaciones</t>
  </si>
  <si>
    <t>CONCEPTO</t>
  </si>
  <si>
    <t>TOTAL OBLIGACIONES LABORALES Y DE SEGURIDAD SOCIAL INTEGRAL</t>
  </si>
  <si>
    <t>Bonificaciones</t>
  </si>
  <si>
    <t>TOTAL OBLIGACIONES LABORALES Y DE</t>
  </si>
  <si>
    <t>SEGURIDAD SOCIAL INTEGRAL</t>
  </si>
  <si>
    <t>Aprovechamientos</t>
  </si>
  <si>
    <t>PARTIDAS EXTRAORDINARIAS</t>
  </si>
  <si>
    <t>INGRESOS EXTRAORDINARIOS</t>
  </si>
  <si>
    <t>Operaciones de Enlace</t>
  </si>
  <si>
    <t>Fondos Entregados</t>
  </si>
  <si>
    <t>OTROS INGRESOS</t>
  </si>
  <si>
    <t>INVERSIONES E INSTRUMENTOS</t>
  </si>
  <si>
    <t>DERIVADOS</t>
  </si>
  <si>
    <t>Financieros</t>
  </si>
  <si>
    <t>Inversiones Administración de Liquidez</t>
  </si>
  <si>
    <t>en Títulos de Deuda</t>
  </si>
  <si>
    <t>VIVIAN JULIE JARAMILLO LOZANO</t>
  </si>
  <si>
    <t>T.P. 129393-T</t>
  </si>
  <si>
    <t>OTROS ACTIVOS</t>
  </si>
  <si>
    <t>Intangibles</t>
  </si>
  <si>
    <t>Amortización Acumulada de Intangibles</t>
  </si>
  <si>
    <t>Provisiones, Depreciaciones y</t>
  </si>
  <si>
    <t>Amortizaciones</t>
  </si>
  <si>
    <t>DEUDORES</t>
  </si>
  <si>
    <t>Equipos de Comunicación y Computación</t>
  </si>
  <si>
    <t>OTROS DEUDORES</t>
  </si>
  <si>
    <t>AJUSTE DE EJERCICIOS ANTERIORES</t>
  </si>
  <si>
    <t>Otros Ingresos</t>
  </si>
  <si>
    <t>Capital Fiscal</t>
  </si>
  <si>
    <t>Operaciones sin Flujo de Efectivo</t>
  </si>
  <si>
    <t>Impuestos Contribuciones y Tasas</t>
  </si>
  <si>
    <t>Dic/31/2013</t>
  </si>
  <si>
    <t>Bancolombia - Inversion Recursos Propios</t>
  </si>
  <si>
    <t>TOTAL INVERSIONES E INSTRUMENTOS</t>
  </si>
  <si>
    <t>TOTAL OTROS ACTIVOS</t>
  </si>
  <si>
    <t>Impuestos Contribribuciones y Tasas por Pagar</t>
  </si>
  <si>
    <t>Vacaciones</t>
  </si>
  <si>
    <t>TOTAL GASTOS DE ADMINISTRACION</t>
  </si>
  <si>
    <t>TOTAL GASTOS DE OPERACIÓN</t>
  </si>
  <si>
    <t>TOTAL AJUSTE DE EJERCICIOS ANTERIORES</t>
  </si>
  <si>
    <t>TOTAL PATRIMONIO</t>
  </si>
  <si>
    <t>Resultado del Ejercicio</t>
  </si>
  <si>
    <t>Provisiones, depreciaciones y amortizaciones</t>
  </si>
  <si>
    <t>ESTADO DE CAMBIOS EN EL PATRIMONIO</t>
  </si>
  <si>
    <t>DETALLE DE LAS VARIACIONES PATRIMONIALES</t>
  </si>
  <si>
    <t>INCREMENTOS</t>
  </si>
  <si>
    <t>DISMINUCIONES</t>
  </si>
  <si>
    <t>PARTIDAS SIN VARIACIÓN</t>
  </si>
  <si>
    <t>TOTAL VARIACIONES</t>
  </si>
  <si>
    <t>METODO INDIRECTO</t>
  </si>
  <si>
    <t>FLUJO DE EFECTIVO DE LAS ACTIVIDADES DE OPERACIÓN</t>
  </si>
  <si>
    <t>MOVIMIENTO DE PARTIDAS QUE NO INVOLUCRAN EFECTIVO</t>
  </si>
  <si>
    <t>Ingreso por operaciones sin flujo de efectivo</t>
  </si>
  <si>
    <t>Provisiones</t>
  </si>
  <si>
    <t>Mas Depreciaciones</t>
  </si>
  <si>
    <t>Valorizaciones</t>
  </si>
  <si>
    <t>EFECTIVO GENERADO EN LA OPERACIÓN</t>
  </si>
  <si>
    <t>CAMBIOS EN ACTIVOS Y PASIVOS</t>
  </si>
  <si>
    <t>EFECTIVO GENERADO EN CAMBIOS DE ACTIVOS Y PASIVOS</t>
  </si>
  <si>
    <t>FLUJO NETO DE EFECTIVO EN ACTIVIDADES DE OPERACIÓN</t>
  </si>
  <si>
    <t>FLUJO DE EFECTIVO DE LAS ACTIVIDADES DE INVERSIÓN</t>
  </si>
  <si>
    <t>FLUJO NETO DE EFECTIVO EN ACTIVIDADES DE INVERSIÓN</t>
  </si>
  <si>
    <t>FLUJO DE EFECTIVO EN LAS ACTIVIDADES DE FINANCIACIÓN</t>
  </si>
  <si>
    <t>FLUJO NETO DE EFECTIVO EN ACTIVIDADES DE FINANCIACIÓN</t>
  </si>
  <si>
    <t>INCREMENTO O DISMINUCIÓN NETO DEL EFECTIVO Y SU EQUIVALENTE</t>
  </si>
  <si>
    <t>DIFERENCIA ENTRE INICIAL Y FINAL</t>
  </si>
  <si>
    <t>ANEXO 1</t>
  </si>
  <si>
    <t xml:space="preserve">Caja </t>
  </si>
  <si>
    <t>Deposito en Instituciones Financieras</t>
  </si>
  <si>
    <t>Operaciones de Administración de Liquidez</t>
  </si>
  <si>
    <t>Inversiones por Administración de Liquidez</t>
  </si>
  <si>
    <t>TOTAL EFECTIVO Y SU EQUIVALENTE</t>
  </si>
  <si>
    <t>RECURSOS RESTRINGIDOS</t>
  </si>
  <si>
    <t>Embargos</t>
  </si>
  <si>
    <t>Destinación Especifica</t>
  </si>
  <si>
    <t>TOTAL RECURSOS RESTRINGIDOS</t>
  </si>
  <si>
    <t>ESTADO FLUJOS DE EFECTIVO</t>
  </si>
  <si>
    <t>AGENCIA NACIONAL DE CONTRATACIÓN PÚBLICA -COLOMBIA COMPRA EFICIENTE</t>
  </si>
  <si>
    <t>Resultado de ejercicios anteriores</t>
  </si>
  <si>
    <t>Recursos Entregados en Administración</t>
  </si>
  <si>
    <t>Sueldos y salarios</t>
  </si>
  <si>
    <t>OTROS PASIVOS</t>
  </si>
  <si>
    <t>Recaudo a Favor de Terceros</t>
  </si>
  <si>
    <t>Equipos de Comedor, Cocina, Despensa y Hoteleria</t>
  </si>
  <si>
    <t>Muebles, Enseres y Equipo de Oficina</t>
  </si>
  <si>
    <t>Patrimonio Institucional Incorporado</t>
  </si>
  <si>
    <t>Dic/31/2014</t>
  </si>
  <si>
    <t>Recursos entregados en administracion</t>
  </si>
  <si>
    <t>Ajuste de Ejercicios Anteriores</t>
  </si>
  <si>
    <t>SALDO DEL PATRIMONIO A 31 DE DICIEMBRE DE 2014</t>
  </si>
  <si>
    <t>Resultados de Ejercicios anteriores</t>
  </si>
  <si>
    <t>INCREMENTO O DISMINUCIÓN RESULTADO DEL EJERCICIO</t>
  </si>
  <si>
    <t>Aumento o Disminución Deudores</t>
  </si>
  <si>
    <t>Aumento o Disminución otros deudores</t>
  </si>
  <si>
    <t>Aumento o Disminución Salarios y prestaciones sociales por pagar</t>
  </si>
  <si>
    <t>Aumento o Disminución Recaudo a Favor de terceros</t>
  </si>
  <si>
    <t>Aumento o Disminución equipos de comunicación y computación</t>
  </si>
  <si>
    <t>Aumento o Disminucipon Muebles, enseres y equipos de oficina</t>
  </si>
  <si>
    <t>Aumento o Disminucipon Intangibles</t>
  </si>
  <si>
    <t>Aumento o Disminución de los proveedores</t>
  </si>
  <si>
    <t>Aumento o Disminución de los acreedores</t>
  </si>
  <si>
    <t>Aumento o Disminución de impuestos por pagar</t>
  </si>
  <si>
    <t>Aumento o Disminución del capital fiscal</t>
  </si>
  <si>
    <t>Aumento patromonio Institucional Incorporado</t>
  </si>
  <si>
    <t>EFECTIVO Y EQUIVALENTES A EFECTIVO A 31 DE DICIEMBRE DE 2014</t>
  </si>
  <si>
    <t>CUENTAS DE ORDEN DEUDORAS</t>
  </si>
  <si>
    <t>CUENTAS DE ORDEN ACREEDORAS</t>
  </si>
  <si>
    <t>DEUDORAS DE CONTROL</t>
  </si>
  <si>
    <t>Ejecucion de proyectos de inversión</t>
  </si>
  <si>
    <t>DEUDORAS POR CONTRA</t>
  </si>
  <si>
    <t>Deudoras de Control por contra</t>
  </si>
  <si>
    <t>ACREEDORAS DE CONTROL</t>
  </si>
  <si>
    <t>Préstamos por recibir</t>
  </si>
  <si>
    <t>Ejecución de Proyectos de Inversión</t>
  </si>
  <si>
    <t>ACREEDORAS POR CONTRA</t>
  </si>
  <si>
    <t>Bienes Muebles en Bodega</t>
  </si>
  <si>
    <t>Acreedoras de Control por contra</t>
  </si>
  <si>
    <t>Otras Cuentas Deudoras de Control</t>
  </si>
  <si>
    <t>OTROS GASTOS</t>
  </si>
  <si>
    <t>Comisiones</t>
  </si>
  <si>
    <t>Redes, Líneas y cables</t>
  </si>
  <si>
    <t>Gastos de administracion</t>
  </si>
  <si>
    <t>Cargos Diferidos</t>
  </si>
  <si>
    <t>A 31 DE DICIEMBRE DE 2015</t>
  </si>
  <si>
    <t>Otros Intereses</t>
  </si>
  <si>
    <t>Otros Deudores</t>
  </si>
  <si>
    <t>No Tributarios</t>
  </si>
  <si>
    <t>Operaciones sin flujo de efectivo</t>
  </si>
  <si>
    <t>SALDO DEL PATRIMONIO A 31 DE DICIEMBRE DE 2015</t>
  </si>
  <si>
    <t>VARIACIONES PATRIMONIALES DURANTE 2015</t>
  </si>
  <si>
    <t>Dic/31/2015</t>
  </si>
  <si>
    <t>TOTAL INGRESOS FISCALES</t>
  </si>
  <si>
    <t xml:space="preserve">TOTAL OTROS INGRESOS </t>
  </si>
  <si>
    <t>Rendimientos sobre depósitos en administración</t>
  </si>
  <si>
    <t>Utilidad por valoración de las inversiones tes</t>
  </si>
  <si>
    <t>TOTAL OTROS DEUDORES</t>
  </si>
  <si>
    <t>Aumento o Disminución Bienes Muebles en Bodega</t>
  </si>
  <si>
    <t>Aumento o Disminución Redes, Líneas y cables</t>
  </si>
  <si>
    <t>Aumento o DisminuciónMaquinaria y Equipo</t>
  </si>
  <si>
    <t>Aumento o Disminucipon Cargos Diferidos</t>
  </si>
  <si>
    <t>EFECTIVO Y EQUIVALENTES A EFECTIVO A 31 DE DICIEMBRE DE 2015</t>
  </si>
  <si>
    <t xml:space="preserve">DETALLE DEL EFECTIVO Y EQUIVALENTE DEL EFECTIVO A DICIEMBRE </t>
  </si>
  <si>
    <t>PASIVOS ESTIMADOS</t>
  </si>
  <si>
    <t>Provisión para Prestaciones Sociales</t>
  </si>
  <si>
    <t xml:space="preserve">Extraordinarios </t>
  </si>
  <si>
    <t xml:space="preserve">OBLIGACIONES LABORALES </t>
  </si>
  <si>
    <t xml:space="preserve">Y DE SEGURIDAD SOCIAL INTEGRAL </t>
  </si>
  <si>
    <t xml:space="preserve">Litigios y Mecanismos Alternativos </t>
  </si>
  <si>
    <t>de Solucion de Conflictos</t>
  </si>
  <si>
    <t>RESPONSABILIDADES CONTINGENTES</t>
  </si>
  <si>
    <t>Responsabilidades Contingentes por Contra</t>
  </si>
  <si>
    <t xml:space="preserve">INGRESOS FISCALES </t>
  </si>
  <si>
    <t xml:space="preserve">Pago por Cuenta deTerceros </t>
  </si>
  <si>
    <t>A 30 DE NOVIEMBRE DE 2016</t>
  </si>
  <si>
    <t>DEL 01 AL 30 DE NOVIEMBRE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</si>
</sst>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name val="Arial Narrow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1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53">
    <xf numFmtId="0" fontId="0" fillId="0" borderId="0" xfId="0"/>
    <xf numFmtId="0" fontId="18" fillId="34" borderId="0" xfId="0" applyFont="1" applyFill="1" applyAlignment="1">
      <alignment horizontal="center"/>
    </xf>
    <xf numFmtId="0" fontId="18" fillId="34" borderId="0" xfId="0" applyFont="1" applyFill="1"/>
    <xf numFmtId="3" fontId="19" fillId="34" borderId="0" xfId="0" applyNumberFormat="1" applyFont="1" applyFill="1" applyBorder="1"/>
    <xf numFmtId="3" fontId="18" fillId="34" borderId="0" xfId="0" applyNumberFormat="1" applyFont="1" applyFill="1" applyBorder="1" applyAlignment="1">
      <alignment horizontal="right"/>
    </xf>
    <xf numFmtId="0" fontId="18" fillId="34" borderId="0" xfId="0" applyFont="1" applyFill="1" applyBorder="1"/>
    <xf numFmtId="0" fontId="21" fillId="33" borderId="0" xfId="0" applyFont="1" applyFill="1" applyBorder="1" applyAlignment="1">
      <alignment vertical="center"/>
    </xf>
    <xf numFmtId="0" fontId="21" fillId="34" borderId="10" xfId="0" applyFont="1" applyFill="1" applyBorder="1" applyAlignment="1">
      <alignment vertical="center"/>
    </xf>
    <xf numFmtId="4" fontId="21" fillId="34" borderId="10" xfId="1" applyNumberFormat="1" applyFont="1" applyFill="1" applyBorder="1" applyAlignment="1">
      <alignment horizontal="right" vertical="center"/>
    </xf>
    <xf numFmtId="4" fontId="21" fillId="34" borderId="0" xfId="1" applyNumberFormat="1" applyFont="1" applyFill="1" applyBorder="1" applyAlignment="1">
      <alignment horizontal="right" vertical="center"/>
    </xf>
    <xf numFmtId="0" fontId="21" fillId="34" borderId="0" xfId="0" applyFont="1" applyFill="1" applyBorder="1" applyAlignment="1">
      <alignment vertical="center"/>
    </xf>
    <xf numFmtId="4" fontId="21" fillId="34" borderId="0" xfId="0" applyNumberFormat="1" applyFont="1" applyFill="1" applyBorder="1" applyAlignment="1">
      <alignment vertical="center"/>
    </xf>
    <xf numFmtId="165" fontId="21" fillId="34" borderId="0" xfId="1" applyFont="1" applyFill="1" applyBorder="1" applyAlignment="1">
      <alignment vertical="center"/>
    </xf>
    <xf numFmtId="0" fontId="19" fillId="34" borderId="0" xfId="0" applyFont="1" applyFill="1" applyBorder="1" applyAlignment="1">
      <alignment vertical="center"/>
    </xf>
    <xf numFmtId="0" fontId="20" fillId="34" borderId="0" xfId="0" applyFont="1" applyFill="1" applyBorder="1" applyAlignment="1">
      <alignment vertical="center"/>
    </xf>
    <xf numFmtId="0" fontId="18" fillId="34" borderId="0" xfId="0" applyFont="1" applyFill="1" applyBorder="1" applyAlignment="1">
      <alignment vertical="center"/>
    </xf>
    <xf numFmtId="0" fontId="21" fillId="34" borderId="0" xfId="0" applyFont="1" applyFill="1" applyBorder="1" applyAlignment="1">
      <alignment horizontal="center" vertical="center"/>
    </xf>
    <xf numFmtId="167" fontId="20" fillId="34" borderId="0" xfId="0" applyNumberFormat="1" applyFont="1" applyFill="1" applyBorder="1" applyAlignment="1">
      <alignment horizontal="center" vertical="center"/>
    </xf>
    <xf numFmtId="166" fontId="21" fillId="34" borderId="0" xfId="1" applyNumberFormat="1" applyFont="1" applyFill="1" applyBorder="1" applyAlignment="1">
      <alignment horizontal="right" vertical="center"/>
    </xf>
    <xf numFmtId="3" fontId="20" fillId="34" borderId="0" xfId="1" applyNumberFormat="1" applyFont="1" applyFill="1" applyBorder="1" applyAlignment="1">
      <alignment horizontal="right" vertical="center"/>
    </xf>
    <xf numFmtId="166" fontId="20" fillId="34" borderId="11" xfId="1" applyNumberFormat="1" applyFont="1" applyFill="1" applyBorder="1" applyAlignment="1">
      <alignment horizontal="right" vertical="center" wrapText="1"/>
    </xf>
    <xf numFmtId="3" fontId="21" fillId="34" borderId="0" xfId="1" applyNumberFormat="1" applyFont="1" applyFill="1" applyBorder="1" applyAlignment="1">
      <alignment horizontal="right" vertical="center"/>
    </xf>
    <xf numFmtId="3" fontId="20" fillId="34" borderId="11" xfId="1" applyNumberFormat="1" applyFont="1" applyFill="1" applyBorder="1" applyAlignment="1">
      <alignment horizontal="right" vertical="center" wrapText="1"/>
    </xf>
    <xf numFmtId="3" fontId="21" fillId="34" borderId="0" xfId="0" applyNumberFormat="1" applyFont="1" applyFill="1" applyBorder="1" applyAlignment="1">
      <alignment vertical="center"/>
    </xf>
    <xf numFmtId="166" fontId="21" fillId="34" borderId="0" xfId="1" applyNumberFormat="1" applyFont="1" applyFill="1" applyBorder="1" applyAlignment="1">
      <alignment vertical="center"/>
    </xf>
    <xf numFmtId="166" fontId="20" fillId="34" borderId="0" xfId="1" applyNumberFormat="1" applyFont="1" applyFill="1" applyBorder="1" applyAlignment="1">
      <alignment horizontal="right" vertical="center" wrapText="1"/>
    </xf>
    <xf numFmtId="0" fontId="19" fillId="34" borderId="0" xfId="0" applyFont="1" applyFill="1" applyBorder="1" applyAlignment="1">
      <alignment horizontal="center"/>
    </xf>
    <xf numFmtId="3" fontId="18" fillId="34" borderId="0" xfId="0" applyNumberFormat="1" applyFont="1" applyFill="1" applyBorder="1"/>
    <xf numFmtId="0" fontId="21" fillId="34" borderId="0" xfId="0" applyFont="1" applyFill="1" applyBorder="1" applyAlignment="1">
      <alignment vertical="center" wrapText="1"/>
    </xf>
    <xf numFmtId="0" fontId="20" fillId="34" borderId="0" xfId="0" applyFont="1" applyFill="1" applyBorder="1" applyAlignment="1">
      <alignment vertical="center" wrapText="1"/>
    </xf>
    <xf numFmtId="0" fontId="22" fillId="34" borderId="0" xfId="0" applyFont="1" applyFill="1" applyBorder="1" applyAlignment="1">
      <alignment vertical="center"/>
    </xf>
    <xf numFmtId="165" fontId="22" fillId="34" borderId="0" xfId="1" applyFont="1" applyFill="1" applyBorder="1" applyAlignment="1">
      <alignment vertical="center"/>
    </xf>
    <xf numFmtId="165" fontId="18" fillId="34" borderId="0" xfId="1" applyFont="1" applyFill="1" applyBorder="1" applyAlignment="1">
      <alignment vertical="center"/>
    </xf>
    <xf numFmtId="167" fontId="20" fillId="33" borderId="0" xfId="0" applyNumberFormat="1" applyFont="1" applyFill="1" applyBorder="1" applyAlignment="1">
      <alignment horizontal="center" vertical="center"/>
    </xf>
    <xf numFmtId="0" fontId="0" fillId="34" borderId="0" xfId="0" applyFill="1"/>
    <xf numFmtId="3" fontId="20" fillId="34" borderId="0" xfId="1" applyNumberFormat="1" applyFont="1" applyFill="1" applyBorder="1" applyAlignment="1">
      <alignment horizontal="right" vertical="center" wrapText="1"/>
    </xf>
    <xf numFmtId="4" fontId="20" fillId="34" borderId="0" xfId="0" applyNumberFormat="1" applyFont="1" applyFill="1" applyBorder="1" applyAlignment="1">
      <alignment vertical="center"/>
    </xf>
    <xf numFmtId="3" fontId="20" fillId="34" borderId="11" xfId="1" applyNumberFormat="1" applyFont="1" applyFill="1" applyBorder="1" applyAlignment="1">
      <alignment vertical="center" wrapText="1"/>
    </xf>
    <xf numFmtId="3" fontId="21" fillId="34" borderId="0" xfId="1" applyNumberFormat="1" applyFont="1" applyFill="1" applyBorder="1" applyAlignment="1">
      <alignment vertical="center" wrapText="1"/>
    </xf>
    <xf numFmtId="166" fontId="21" fillId="34" borderId="0" xfId="1" applyNumberFormat="1" applyFont="1" applyFill="1" applyBorder="1" applyAlignment="1">
      <alignment horizontal="right" vertical="center" wrapText="1"/>
    </xf>
    <xf numFmtId="166" fontId="21" fillId="34" borderId="10" xfId="1" applyNumberFormat="1" applyFont="1" applyFill="1" applyBorder="1" applyAlignment="1">
      <alignment horizontal="right" vertical="center"/>
    </xf>
    <xf numFmtId="3" fontId="21" fillId="34" borderId="0" xfId="0" applyNumberFormat="1" applyFont="1" applyFill="1" applyBorder="1" applyAlignment="1">
      <alignment horizontal="right" vertical="center"/>
    </xf>
    <xf numFmtId="3" fontId="20" fillId="34" borderId="11" xfId="0" applyNumberFormat="1" applyFont="1" applyFill="1" applyBorder="1" applyAlignment="1">
      <alignment horizontal="right" vertical="center"/>
    </xf>
    <xf numFmtId="166" fontId="21" fillId="34" borderId="0" xfId="0" applyNumberFormat="1" applyFont="1" applyFill="1" applyBorder="1" applyAlignment="1">
      <alignment vertical="center"/>
    </xf>
    <xf numFmtId="3" fontId="21" fillId="34" borderId="12" xfId="1" applyNumberFormat="1" applyFont="1" applyFill="1" applyBorder="1" applyAlignment="1">
      <alignment horizontal="right" vertical="center" wrapText="1"/>
    </xf>
    <xf numFmtId="165" fontId="21" fillId="34" borderId="0" xfId="1" applyFont="1" applyFill="1" applyBorder="1" applyAlignment="1">
      <alignment horizontal="right" vertical="center"/>
    </xf>
    <xf numFmtId="0" fontId="20" fillId="34" borderId="0" xfId="0" applyFont="1" applyFill="1" applyBorder="1" applyAlignment="1">
      <alignment horizontal="center" vertical="center"/>
    </xf>
    <xf numFmtId="0" fontId="21" fillId="34" borderId="0" xfId="0" applyFont="1" applyFill="1" applyBorder="1"/>
    <xf numFmtId="0" fontId="21" fillId="34" borderId="10" xfId="0" applyFont="1" applyFill="1" applyBorder="1"/>
    <xf numFmtId="0" fontId="21" fillId="34" borderId="12" xfId="0" applyFont="1" applyFill="1" applyBorder="1" applyAlignment="1">
      <alignment vertical="center"/>
    </xf>
    <xf numFmtId="166" fontId="21" fillId="34" borderId="10" xfId="1" applyNumberFormat="1" applyFont="1" applyFill="1" applyBorder="1" applyAlignment="1">
      <alignment vertical="center"/>
    </xf>
    <xf numFmtId="0" fontId="20" fillId="34" borderId="0" xfId="0" applyFont="1" applyFill="1" applyBorder="1"/>
    <xf numFmtId="0" fontId="20" fillId="34" borderId="11" xfId="0" applyFont="1" applyFill="1" applyBorder="1"/>
    <xf numFmtId="0" fontId="20" fillId="34" borderId="0" xfId="0" applyFont="1" applyFill="1" applyBorder="1" applyAlignment="1">
      <alignment horizontal="center"/>
    </xf>
    <xf numFmtId="166" fontId="21" fillId="34" borderId="0" xfId="1" applyNumberFormat="1" applyFont="1" applyFill="1" applyBorder="1"/>
    <xf numFmtId="166" fontId="21" fillId="34" borderId="0" xfId="0" applyNumberFormat="1" applyFont="1" applyFill="1" applyBorder="1"/>
    <xf numFmtId="0" fontId="23" fillId="34" borderId="0" xfId="0" applyFont="1" applyFill="1" applyBorder="1" applyAlignment="1">
      <alignment vertical="center"/>
    </xf>
    <xf numFmtId="4" fontId="23" fillId="34" borderId="0" xfId="1" applyNumberFormat="1" applyFont="1" applyFill="1" applyBorder="1" applyAlignment="1">
      <alignment horizontal="right" vertical="center"/>
    </xf>
    <xf numFmtId="0" fontId="23" fillId="34" borderId="0" xfId="0" applyFont="1" applyFill="1" applyBorder="1"/>
    <xf numFmtId="0" fontId="20" fillId="34" borderId="13" xfId="0" applyFont="1" applyFill="1" applyBorder="1"/>
    <xf numFmtId="3" fontId="20" fillId="34" borderId="11" xfId="0" applyNumberFormat="1" applyFont="1" applyFill="1" applyBorder="1" applyAlignment="1">
      <alignment horizontal="right"/>
    </xf>
    <xf numFmtId="3" fontId="20" fillId="34" borderId="14" xfId="0" applyNumberFormat="1" applyFont="1" applyFill="1" applyBorder="1" applyAlignment="1">
      <alignment horizontal="right"/>
    </xf>
    <xf numFmtId="3" fontId="21" fillId="34" borderId="0" xfId="1" applyNumberFormat="1" applyFont="1" applyFill="1" applyBorder="1" applyAlignment="1">
      <alignment horizontal="right" vertical="center" wrapText="1"/>
    </xf>
    <xf numFmtId="3" fontId="20" fillId="34" borderId="10" xfId="1" applyNumberFormat="1" applyFont="1" applyFill="1" applyBorder="1" applyAlignment="1">
      <alignment horizontal="right" vertical="center" wrapText="1"/>
    </xf>
    <xf numFmtId="0" fontId="21" fillId="34" borderId="0" xfId="0" applyFont="1" applyFill="1" applyBorder="1" applyAlignment="1">
      <alignment horizontal="right" vertical="center"/>
    </xf>
    <xf numFmtId="0" fontId="20" fillId="33" borderId="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vertical="center"/>
    </xf>
    <xf numFmtId="0" fontId="24" fillId="34" borderId="0" xfId="0" applyFont="1" applyFill="1" applyBorder="1"/>
    <xf numFmtId="0" fontId="25" fillId="34" borderId="0" xfId="0" applyFont="1" applyFill="1" applyBorder="1" applyAlignment="1">
      <alignment vertical="center"/>
    </xf>
    <xf numFmtId="166" fontId="20" fillId="33" borderId="11" xfId="1" applyNumberFormat="1" applyFont="1" applyFill="1" applyBorder="1" applyAlignment="1">
      <alignment horizontal="right" vertical="center" wrapText="1"/>
    </xf>
    <xf numFmtId="0" fontId="21" fillId="34" borderId="0" xfId="0" applyFont="1" applyFill="1" applyBorder="1" applyAlignment="1">
      <alignment horizontal="left" vertical="center"/>
    </xf>
    <xf numFmtId="0" fontId="26" fillId="34" borderId="0" xfId="0" applyFont="1" applyFill="1" applyBorder="1"/>
    <xf numFmtId="3" fontId="20" fillId="34" borderId="0" xfId="0" applyNumberFormat="1" applyFont="1" applyFill="1" applyBorder="1" applyAlignment="1">
      <alignment horizontal="right"/>
    </xf>
    <xf numFmtId="0" fontId="20" fillId="34" borderId="12" xfId="0" applyFont="1" applyFill="1" applyBorder="1" applyAlignment="1">
      <alignment horizontal="right"/>
    </xf>
    <xf numFmtId="0" fontId="21" fillId="34" borderId="12" xfId="0" applyFont="1" applyFill="1" applyBorder="1" applyAlignment="1">
      <alignment horizontal="center"/>
    </xf>
    <xf numFmtId="0" fontId="20" fillId="34" borderId="16" xfId="0" applyFont="1" applyFill="1" applyBorder="1" applyAlignment="1">
      <alignment horizontal="right"/>
    </xf>
    <xf numFmtId="0" fontId="20" fillId="34" borderId="0" xfId="0" applyFont="1" applyFill="1" applyBorder="1" applyAlignment="1">
      <alignment horizontal="right"/>
    </xf>
    <xf numFmtId="0" fontId="21" fillId="34" borderId="0" xfId="0" applyFont="1" applyFill="1" applyBorder="1" applyAlignment="1">
      <alignment horizontal="center"/>
    </xf>
    <xf numFmtId="0" fontId="20" fillId="34" borderId="19" xfId="0" applyFont="1" applyFill="1" applyBorder="1" applyAlignment="1">
      <alignment horizontal="right"/>
    </xf>
    <xf numFmtId="0" fontId="21" fillId="34" borderId="15" xfId="0" applyFont="1" applyFill="1" applyBorder="1"/>
    <xf numFmtId="0" fontId="21" fillId="34" borderId="17" xfId="0" applyFont="1" applyFill="1" applyBorder="1"/>
    <xf numFmtId="3" fontId="21" fillId="34" borderId="10" xfId="0" applyNumberFormat="1" applyFont="1" applyFill="1" applyBorder="1"/>
    <xf numFmtId="0" fontId="20" fillId="34" borderId="10" xfId="0" applyFont="1" applyFill="1" applyBorder="1" applyAlignment="1">
      <alignment horizontal="right"/>
    </xf>
    <xf numFmtId="0" fontId="21" fillId="34" borderId="10" xfId="0" applyFont="1" applyFill="1" applyBorder="1" applyAlignment="1">
      <alignment horizontal="center"/>
    </xf>
    <xf numFmtId="0" fontId="20" fillId="34" borderId="18" xfId="0" applyFont="1" applyFill="1" applyBorder="1" applyAlignment="1">
      <alignment horizontal="right"/>
    </xf>
    <xf numFmtId="3" fontId="21" fillId="34" borderId="0" xfId="0" applyNumberFormat="1" applyFont="1" applyFill="1" applyBorder="1" applyAlignment="1">
      <alignment horizontal="right"/>
    </xf>
    <xf numFmtId="3" fontId="21" fillId="34" borderId="19" xfId="0" applyNumberFormat="1" applyFont="1" applyFill="1" applyBorder="1" applyAlignment="1">
      <alignment horizontal="right"/>
    </xf>
    <xf numFmtId="0" fontId="21" fillId="34" borderId="20" xfId="0" applyFont="1" applyFill="1" applyBorder="1"/>
    <xf numFmtId="0" fontId="21" fillId="34" borderId="0" xfId="0" applyFont="1" applyFill="1"/>
    <xf numFmtId="0" fontId="21" fillId="34" borderId="0" xfId="0" applyFont="1" applyFill="1" applyAlignment="1">
      <alignment horizontal="right"/>
    </xf>
    <xf numFmtId="3" fontId="21" fillId="34" borderId="0" xfId="0" applyNumberFormat="1" applyFont="1" applyFill="1" applyBorder="1"/>
    <xf numFmtId="0" fontId="21" fillId="34" borderId="11" xfId="0" applyFont="1" applyFill="1" applyBorder="1"/>
    <xf numFmtId="3" fontId="21" fillId="34" borderId="11" xfId="0" applyNumberFormat="1" applyFont="1" applyFill="1" applyBorder="1" applyAlignment="1">
      <alignment horizontal="right"/>
    </xf>
    <xf numFmtId="3" fontId="21" fillId="34" borderId="11" xfId="0" applyNumberFormat="1" applyFont="1" applyFill="1" applyBorder="1"/>
    <xf numFmtId="3" fontId="21" fillId="34" borderId="0" xfId="0" applyNumberFormat="1" applyFont="1" applyFill="1" applyAlignment="1">
      <alignment horizontal="right"/>
    </xf>
    <xf numFmtId="166" fontId="21" fillId="34" borderId="0" xfId="1" applyNumberFormat="1" applyFont="1" applyFill="1" applyBorder="1" applyAlignment="1">
      <alignment horizontal="right"/>
    </xf>
    <xf numFmtId="0" fontId="21" fillId="34" borderId="19" xfId="0" applyFont="1" applyFill="1" applyBorder="1" applyAlignment="1">
      <alignment horizontal="right"/>
    </xf>
    <xf numFmtId="166" fontId="21" fillId="34" borderId="19" xfId="1" applyNumberFormat="1" applyFont="1" applyFill="1" applyBorder="1" applyAlignment="1">
      <alignment horizontal="right"/>
    </xf>
    <xf numFmtId="0" fontId="21" fillId="34" borderId="0" xfId="0" applyFont="1" applyFill="1" applyBorder="1" applyAlignment="1">
      <alignment horizontal="right"/>
    </xf>
    <xf numFmtId="0" fontId="20" fillId="34" borderId="15" xfId="0" applyFont="1" applyFill="1" applyBorder="1"/>
    <xf numFmtId="0" fontId="20" fillId="34" borderId="12" xfId="0" applyFont="1" applyFill="1" applyBorder="1"/>
    <xf numFmtId="0" fontId="20" fillId="34" borderId="17" xfId="0" applyFont="1" applyFill="1" applyBorder="1"/>
    <xf numFmtId="0" fontId="20" fillId="34" borderId="10" xfId="0" applyFont="1" applyFill="1" applyBorder="1"/>
    <xf numFmtId="0" fontId="21" fillId="34" borderId="13" xfId="0" applyFont="1" applyFill="1" applyBorder="1"/>
    <xf numFmtId="0" fontId="21" fillId="34" borderId="11" xfId="0" applyFont="1" applyFill="1" applyBorder="1" applyAlignment="1">
      <alignment horizontal="right"/>
    </xf>
    <xf numFmtId="0" fontId="21" fillId="34" borderId="14" xfId="0" applyFont="1" applyFill="1" applyBorder="1" applyAlignment="1">
      <alignment horizontal="right"/>
    </xf>
    <xf numFmtId="3" fontId="20" fillId="34" borderId="10" xfId="0" applyNumberFormat="1" applyFont="1" applyFill="1" applyBorder="1" applyAlignment="1">
      <alignment horizontal="right"/>
    </xf>
    <xf numFmtId="3" fontId="20" fillId="34" borderId="18" xfId="0" applyNumberFormat="1" applyFont="1" applyFill="1" applyBorder="1" applyAlignment="1">
      <alignment horizontal="right"/>
    </xf>
    <xf numFmtId="166" fontId="21" fillId="34" borderId="11" xfId="1" applyNumberFormat="1" applyFont="1" applyFill="1" applyBorder="1" applyAlignment="1">
      <alignment horizontal="right"/>
    </xf>
    <xf numFmtId="166" fontId="21" fillId="34" borderId="14" xfId="1" applyNumberFormat="1" applyFont="1" applyFill="1" applyBorder="1" applyAlignment="1">
      <alignment horizontal="right"/>
    </xf>
    <xf numFmtId="0" fontId="21" fillId="34" borderId="11" xfId="0" applyFont="1" applyFill="1" applyBorder="1" applyAlignment="1">
      <alignment horizontal="center"/>
    </xf>
    <xf numFmtId="3" fontId="21" fillId="34" borderId="14" xfId="0" applyNumberFormat="1" applyFont="1" applyFill="1" applyBorder="1" applyAlignment="1">
      <alignment horizontal="right"/>
    </xf>
    <xf numFmtId="3" fontId="26" fillId="34" borderId="11" xfId="0" applyNumberFormat="1" applyFont="1" applyFill="1" applyBorder="1" applyAlignment="1">
      <alignment horizontal="right" vertical="center"/>
    </xf>
    <xf numFmtId="3" fontId="20" fillId="34" borderId="14" xfId="0" applyNumberFormat="1" applyFont="1" applyFill="1" applyBorder="1" applyAlignment="1">
      <alignment horizontal="right" vertical="center"/>
    </xf>
    <xf numFmtId="3" fontId="26" fillId="34" borderId="0" xfId="0" applyNumberFormat="1" applyFont="1" applyFill="1" applyBorder="1" applyAlignment="1">
      <alignment horizontal="right" vertical="center"/>
    </xf>
    <xf numFmtId="3" fontId="20" fillId="34" borderId="0" xfId="0" applyNumberFormat="1" applyFont="1" applyFill="1" applyBorder="1" applyAlignment="1">
      <alignment horizontal="right" vertical="center"/>
    </xf>
    <xf numFmtId="3" fontId="27" fillId="34" borderId="0" xfId="0" applyNumberFormat="1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right"/>
    </xf>
    <xf numFmtId="0" fontId="20" fillId="34" borderId="11" xfId="0" applyFont="1" applyFill="1" applyBorder="1" applyAlignment="1">
      <alignment horizontal="right"/>
    </xf>
    <xf numFmtId="165" fontId="21" fillId="34" borderId="0" xfId="1" applyFont="1" applyFill="1"/>
    <xf numFmtId="165" fontId="21" fillId="34" borderId="0" xfId="1" applyFont="1" applyFill="1" applyBorder="1"/>
    <xf numFmtId="0" fontId="21" fillId="34" borderId="0" xfId="0" applyFont="1" applyFill="1" applyAlignment="1">
      <alignment horizontal="justify"/>
    </xf>
    <xf numFmtId="164" fontId="21" fillId="34" borderId="0" xfId="43" applyFont="1" applyFill="1" applyAlignment="1">
      <alignment horizontal="right"/>
    </xf>
    <xf numFmtId="0" fontId="21" fillId="34" borderId="11" xfId="0" quotePrefix="1" applyFont="1" applyFill="1" applyBorder="1"/>
    <xf numFmtId="0" fontId="25" fillId="34" borderId="0" xfId="0" applyFont="1" applyFill="1" applyBorder="1"/>
    <xf numFmtId="0" fontId="20" fillId="34" borderId="0" xfId="0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0" fontId="20" fillId="34" borderId="0" xfId="0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0" fontId="21" fillId="34" borderId="0" xfId="0" applyFont="1" applyFill="1" applyBorder="1" applyAlignment="1">
      <alignment horizontal="left" vertical="center"/>
    </xf>
    <xf numFmtId="0" fontId="21" fillId="34" borderId="0" xfId="0" applyNumberFormat="1" applyFont="1" applyFill="1" applyBorder="1" applyAlignment="1">
      <alignment vertical="center"/>
    </xf>
    <xf numFmtId="0" fontId="20" fillId="34" borderId="0" xfId="0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166" fontId="21" fillId="0" borderId="0" xfId="1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3" fontId="21" fillId="34" borderId="0" xfId="1" applyNumberFormat="1" applyFont="1" applyFill="1" applyBorder="1" applyAlignment="1">
      <alignment horizontal="right" vertical="center" wrapText="1"/>
    </xf>
    <xf numFmtId="0" fontId="20" fillId="33" borderId="0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0" fontId="20" fillId="34" borderId="0" xfId="0" applyFont="1" applyFill="1" applyBorder="1" applyAlignment="1">
      <alignment horizontal="left" vertical="center"/>
    </xf>
    <xf numFmtId="0" fontId="20" fillId="34" borderId="12" xfId="0" applyFont="1" applyFill="1" applyBorder="1" applyAlignment="1">
      <alignment horizontal="center" vertical="center"/>
    </xf>
    <xf numFmtId="49" fontId="21" fillId="34" borderId="13" xfId="0" applyNumberFormat="1" applyFont="1" applyFill="1" applyBorder="1"/>
    <xf numFmtId="166" fontId="21" fillId="34" borderId="0" xfId="0" applyNumberFormat="1" applyFont="1" applyFill="1"/>
    <xf numFmtId="3" fontId="21" fillId="34" borderId="12" xfId="1" applyNumberFormat="1" applyFont="1" applyFill="1" applyBorder="1" applyAlignment="1">
      <alignment vertical="center"/>
    </xf>
    <xf numFmtId="4" fontId="20" fillId="34" borderId="0" xfId="1" applyNumberFormat="1" applyFont="1" applyFill="1" applyBorder="1" applyAlignment="1">
      <alignment horizontal="right" vertical="center"/>
    </xf>
    <xf numFmtId="3" fontId="20" fillId="34" borderId="0" xfId="1" applyNumberFormat="1" applyFont="1" applyFill="1" applyBorder="1" applyAlignment="1">
      <alignment vertical="center"/>
    </xf>
    <xf numFmtId="166" fontId="20" fillId="34" borderId="0" xfId="0" applyNumberFormat="1" applyFont="1" applyFill="1" applyBorder="1"/>
    <xf numFmtId="165" fontId="20" fillId="34" borderId="0" xfId="1" applyFont="1" applyFill="1" applyBorder="1"/>
    <xf numFmtId="3" fontId="20" fillId="34" borderId="21" xfId="1" applyNumberFormat="1" applyFont="1" applyFill="1" applyBorder="1" applyAlignment="1">
      <alignment vertical="center"/>
    </xf>
    <xf numFmtId="3" fontId="21" fillId="34" borderId="10" xfId="1" applyNumberFormat="1" applyFont="1" applyFill="1" applyBorder="1" applyAlignment="1">
      <alignment vertical="center"/>
    </xf>
    <xf numFmtId="3" fontId="20" fillId="33" borderId="0" xfId="1" applyNumberFormat="1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vertical="center"/>
    </xf>
    <xf numFmtId="3" fontId="20" fillId="34" borderId="11" xfId="1" applyNumberFormat="1" applyFont="1" applyFill="1" applyBorder="1" applyAlignment="1">
      <alignment vertical="center"/>
    </xf>
    <xf numFmtId="3" fontId="21" fillId="34" borderId="0" xfId="1" applyNumberFormat="1" applyFont="1" applyFill="1" applyBorder="1"/>
    <xf numFmtId="3" fontId="20" fillId="34" borderId="11" xfId="1" applyNumberFormat="1" applyFont="1" applyFill="1" applyBorder="1"/>
    <xf numFmtId="3" fontId="24" fillId="34" borderId="0" xfId="1" applyNumberFormat="1" applyFont="1" applyFill="1" applyBorder="1"/>
    <xf numFmtId="3" fontId="23" fillId="34" borderId="0" xfId="1" applyNumberFormat="1" applyFont="1" applyFill="1" applyBorder="1" applyAlignment="1">
      <alignment horizontal="right" vertical="center" wrapText="1"/>
    </xf>
    <xf numFmtId="0" fontId="26" fillId="34" borderId="0" xfId="0" applyFont="1" applyFill="1" applyBorder="1" applyAlignment="1">
      <alignment vertical="center"/>
    </xf>
    <xf numFmtId="4" fontId="26" fillId="34" borderId="0" xfId="1" applyNumberFormat="1" applyFont="1" applyFill="1" applyBorder="1" applyAlignment="1">
      <alignment horizontal="right" vertical="center"/>
    </xf>
    <xf numFmtId="0" fontId="28" fillId="34" borderId="0" xfId="0" applyFont="1" applyFill="1" applyBorder="1"/>
    <xf numFmtId="3" fontId="20" fillId="34" borderId="10" xfId="1" applyNumberFormat="1" applyFont="1" applyFill="1" applyBorder="1"/>
    <xf numFmtId="3" fontId="21" fillId="34" borderId="10" xfId="1" applyNumberFormat="1" applyFont="1" applyFill="1" applyBorder="1"/>
    <xf numFmtId="3" fontId="21" fillId="34" borderId="0" xfId="1" applyNumberFormat="1" applyFont="1" applyFill="1" applyBorder="1" applyAlignment="1">
      <alignment horizontal="right" vertical="center" wrapText="1"/>
    </xf>
    <xf numFmtId="0" fontId="20" fillId="34" borderId="0" xfId="0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3" fontId="20" fillId="33" borderId="22" xfId="1" applyNumberFormat="1" applyFont="1" applyFill="1" applyBorder="1" applyAlignment="1">
      <alignment horizontal="right" vertical="center"/>
    </xf>
    <xf numFmtId="165" fontId="21" fillId="34" borderId="0" xfId="0" applyNumberFormat="1" applyFont="1" applyFill="1" applyBorder="1" applyAlignment="1">
      <alignment vertical="center"/>
    </xf>
    <xf numFmtId="165" fontId="20" fillId="34" borderId="0" xfId="1" applyFont="1" applyFill="1" applyBorder="1" applyAlignment="1">
      <alignment vertical="center"/>
    </xf>
    <xf numFmtId="0" fontId="20" fillId="34" borderId="0" xfId="0" applyFont="1" applyFill="1" applyBorder="1" applyAlignment="1">
      <alignment horizontal="center" vertical="center"/>
    </xf>
    <xf numFmtId="3" fontId="21" fillId="34" borderId="12" xfId="1" applyNumberFormat="1" applyFont="1" applyFill="1" applyBorder="1" applyAlignment="1">
      <alignment horizontal="right" vertical="center" wrapText="1"/>
    </xf>
    <xf numFmtId="3" fontId="21" fillId="34" borderId="0" xfId="1" applyNumberFormat="1" applyFont="1" applyFill="1" applyBorder="1" applyAlignment="1">
      <alignment horizontal="right" vertical="center" wrapText="1"/>
    </xf>
    <xf numFmtId="3" fontId="21" fillId="34" borderId="0" xfId="1" applyNumberFormat="1" applyFont="1" applyFill="1" applyBorder="1" applyAlignment="1">
      <alignment horizontal="right" vertical="center" wrapText="1"/>
    </xf>
    <xf numFmtId="0" fontId="20" fillId="34" borderId="0" xfId="0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166" fontId="21" fillId="34" borderId="0" xfId="1" applyNumberFormat="1" applyFont="1" applyFill="1" applyBorder="1" applyAlignment="1">
      <alignment vertical="center" wrapText="1"/>
    </xf>
    <xf numFmtId="0" fontId="20" fillId="34" borderId="0" xfId="0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3" fontId="20" fillId="34" borderId="10" xfId="1" applyNumberFormat="1" applyFont="1" applyFill="1" applyBorder="1" applyAlignment="1">
      <alignment horizontal="right" vertical="center" wrapText="1"/>
    </xf>
    <xf numFmtId="0" fontId="20" fillId="34" borderId="0" xfId="0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0" fontId="20" fillId="34" borderId="0" xfId="0" applyFont="1" applyFill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right"/>
    </xf>
    <xf numFmtId="3" fontId="21" fillId="34" borderId="18" xfId="0" applyNumberFormat="1" applyFont="1" applyFill="1" applyBorder="1" applyAlignment="1">
      <alignment horizontal="right"/>
    </xf>
    <xf numFmtId="3" fontId="20" fillId="34" borderId="0" xfId="0" applyNumberFormat="1" applyFont="1" applyFill="1" applyBorder="1"/>
    <xf numFmtId="3" fontId="21" fillId="34" borderId="10" xfId="0" applyNumberFormat="1" applyFont="1" applyFill="1" applyBorder="1" applyAlignment="1">
      <alignment horizontal="right"/>
    </xf>
    <xf numFmtId="3" fontId="21" fillId="34" borderId="18" xfId="0" applyNumberFormat="1" applyFont="1" applyFill="1" applyBorder="1" applyAlignment="1">
      <alignment horizontal="right"/>
    </xf>
    <xf numFmtId="3" fontId="20" fillId="34" borderId="12" xfId="0" applyNumberFormat="1" applyFont="1" applyFill="1" applyBorder="1" applyAlignment="1">
      <alignment horizontal="right"/>
    </xf>
    <xf numFmtId="3" fontId="20" fillId="34" borderId="16" xfId="0" applyNumberFormat="1" applyFont="1" applyFill="1" applyBorder="1" applyAlignment="1">
      <alignment horizontal="right"/>
    </xf>
    <xf numFmtId="0" fontId="21" fillId="34" borderId="20" xfId="0" applyFont="1" applyFill="1" applyBorder="1" applyAlignment="1">
      <alignment vertical="center"/>
    </xf>
    <xf numFmtId="165" fontId="21" fillId="34" borderId="0" xfId="1" applyFont="1" applyFill="1" applyBorder="1" applyAlignment="1">
      <alignment horizontal="right"/>
    </xf>
    <xf numFmtId="0" fontId="21" fillId="34" borderId="15" xfId="0" applyFont="1" applyFill="1" applyBorder="1" applyAlignment="1">
      <alignment vertical="center"/>
    </xf>
    <xf numFmtId="165" fontId="21" fillId="34" borderId="12" xfId="1" applyFont="1" applyFill="1" applyBorder="1" applyAlignment="1">
      <alignment horizontal="right"/>
    </xf>
    <xf numFmtId="0" fontId="21" fillId="34" borderId="17" xfId="0" applyFont="1" applyFill="1" applyBorder="1" applyAlignment="1">
      <alignment vertical="center"/>
    </xf>
    <xf numFmtId="3" fontId="21" fillId="34" borderId="19" xfId="0" applyNumberFormat="1" applyFont="1" applyFill="1" applyBorder="1" applyAlignment="1"/>
    <xf numFmtId="0" fontId="20" fillId="34" borderId="0" xfId="0" applyFont="1" applyFill="1" applyBorder="1" applyAlignment="1">
      <alignment horizontal="center" vertical="center"/>
    </xf>
    <xf numFmtId="0" fontId="26" fillId="34" borderId="23" xfId="0" applyFont="1" applyFill="1" applyBorder="1" applyAlignment="1">
      <alignment horizontal="center" vertical="center"/>
    </xf>
    <xf numFmtId="3" fontId="23" fillId="34" borderId="24" xfId="1" applyNumberFormat="1" applyFont="1" applyFill="1" applyBorder="1" applyAlignment="1">
      <alignment horizontal="right" vertical="center" wrapText="1"/>
    </xf>
    <xf numFmtId="3" fontId="26" fillId="34" borderId="24" xfId="1" applyNumberFormat="1" applyFont="1" applyFill="1" applyBorder="1" applyAlignment="1">
      <alignment horizontal="right" vertical="center" wrapText="1"/>
    </xf>
    <xf numFmtId="166" fontId="26" fillId="34" borderId="24" xfId="1" applyNumberFormat="1" applyFont="1" applyFill="1" applyBorder="1" applyAlignment="1">
      <alignment horizontal="right" vertical="center" wrapText="1"/>
    </xf>
    <xf numFmtId="166" fontId="23" fillId="34" borderId="23" xfId="1" applyNumberFormat="1" applyFont="1" applyFill="1" applyBorder="1" applyAlignment="1">
      <alignment vertical="center"/>
    </xf>
    <xf numFmtId="166" fontId="23" fillId="34" borderId="25" xfId="1" applyNumberFormat="1" applyFont="1" applyFill="1" applyBorder="1" applyAlignment="1">
      <alignment vertical="center"/>
    </xf>
    <xf numFmtId="3" fontId="23" fillId="34" borderId="25" xfId="1" applyNumberFormat="1" applyFont="1" applyFill="1" applyBorder="1" applyAlignment="1">
      <alignment horizontal="right" vertical="center" wrapText="1"/>
    </xf>
    <xf numFmtId="3" fontId="23" fillId="34" borderId="26" xfId="1" applyNumberFormat="1" applyFont="1" applyFill="1" applyBorder="1" applyAlignment="1">
      <alignment horizontal="right" vertical="center" wrapText="1"/>
    </xf>
    <xf numFmtId="166" fontId="23" fillId="34" borderId="25" xfId="1" applyNumberFormat="1" applyFont="1" applyFill="1" applyBorder="1" applyAlignment="1">
      <alignment horizontal="right" vertical="center" wrapText="1"/>
    </xf>
    <xf numFmtId="166" fontId="23" fillId="34" borderId="26" xfId="1" applyNumberFormat="1" applyFont="1" applyFill="1" applyBorder="1" applyAlignment="1">
      <alignment horizontal="right" vertical="center" wrapText="1"/>
    </xf>
    <xf numFmtId="0" fontId="20" fillId="34" borderId="0" xfId="0" applyFont="1" applyFill="1" applyBorder="1" applyAlignment="1">
      <alignment horizontal="center" vertical="center"/>
    </xf>
    <xf numFmtId="3" fontId="21" fillId="34" borderId="0" xfId="1" applyNumberFormat="1" applyFont="1" applyFill="1" applyBorder="1" applyAlignment="1">
      <alignment horizontal="right" vertical="center" wrapText="1"/>
    </xf>
    <xf numFmtId="0" fontId="21" fillId="34" borderId="0" xfId="0" applyFont="1" applyFill="1" applyBorder="1" applyAlignment="1"/>
    <xf numFmtId="3" fontId="21" fillId="34" borderId="0" xfId="1" applyNumberFormat="1" applyFont="1" applyFill="1" applyBorder="1" applyAlignment="1">
      <alignment horizontal="right" vertical="center" wrapText="1"/>
    </xf>
    <xf numFmtId="3" fontId="21" fillId="34" borderId="0" xfId="1" applyNumberFormat="1" applyFont="1" applyFill="1" applyBorder="1" applyAlignment="1">
      <alignment horizontal="right" vertical="center" wrapText="1"/>
    </xf>
    <xf numFmtId="3" fontId="20" fillId="34" borderId="0" xfId="0" applyNumberFormat="1" applyFont="1" applyFill="1" applyBorder="1" applyAlignment="1">
      <alignment vertical="center"/>
    </xf>
    <xf numFmtId="166" fontId="21" fillId="34" borderId="0" xfId="1" applyNumberFormat="1" applyFont="1" applyFill="1" applyBorder="1" applyAlignment="1">
      <alignment horizontal="right" vertical="center" wrapText="1"/>
    </xf>
    <xf numFmtId="166" fontId="21" fillId="34" borderId="0" xfId="1" applyNumberFormat="1" applyFont="1" applyFill="1" applyBorder="1" applyAlignment="1">
      <alignment horizontal="right" vertical="center" wrapText="1"/>
    </xf>
    <xf numFmtId="3" fontId="21" fillId="34" borderId="0" xfId="1" applyNumberFormat="1" applyFont="1" applyFill="1" applyBorder="1" applyAlignment="1">
      <alignment horizontal="right" vertical="center" wrapText="1"/>
    </xf>
    <xf numFmtId="0" fontId="20" fillId="34" borderId="0" xfId="0" applyFont="1" applyFill="1" applyBorder="1" applyAlignment="1">
      <alignment horizontal="center" vertical="center"/>
    </xf>
    <xf numFmtId="3" fontId="20" fillId="34" borderId="0" xfId="1" applyNumberFormat="1" applyFont="1" applyFill="1" applyBorder="1" applyAlignment="1">
      <alignment vertical="center" wrapText="1"/>
    </xf>
    <xf numFmtId="166" fontId="21" fillId="34" borderId="0" xfId="1" applyNumberFormat="1" applyFont="1" applyFill="1" applyBorder="1" applyAlignment="1">
      <alignment horizontal="right" vertical="center" wrapText="1"/>
    </xf>
    <xf numFmtId="43" fontId="21" fillId="34" borderId="0" xfId="0" applyNumberFormat="1" applyFont="1" applyFill="1" applyBorder="1" applyAlignment="1">
      <alignment vertical="center"/>
    </xf>
    <xf numFmtId="3" fontId="21" fillId="34" borderId="0" xfId="1" applyNumberFormat="1" applyFont="1" applyFill="1" applyBorder="1" applyAlignment="1">
      <alignment vertical="center" wrapText="1"/>
    </xf>
    <xf numFmtId="166" fontId="21" fillId="34" borderId="0" xfId="1" applyNumberFormat="1" applyFont="1" applyFill="1" applyBorder="1" applyAlignment="1">
      <alignment horizontal="center" vertical="center" wrapText="1"/>
    </xf>
    <xf numFmtId="166" fontId="21" fillId="34" borderId="0" xfId="1" applyNumberFormat="1" applyFont="1" applyFill="1" applyBorder="1" applyAlignment="1">
      <alignment horizontal="right" vertical="center" wrapText="1"/>
    </xf>
    <xf numFmtId="3" fontId="21" fillId="34" borderId="12" xfId="1" applyNumberFormat="1" applyFont="1" applyFill="1" applyBorder="1" applyAlignment="1">
      <alignment horizontal="right" vertical="center" wrapText="1"/>
    </xf>
    <xf numFmtId="3" fontId="21" fillId="34" borderId="0" xfId="1" applyNumberFormat="1" applyFont="1" applyFill="1" applyBorder="1" applyAlignment="1">
      <alignment horizontal="right" vertical="center" wrapText="1"/>
    </xf>
    <xf numFmtId="3" fontId="20" fillId="34" borderId="12" xfId="1" applyNumberFormat="1" applyFont="1" applyFill="1" applyBorder="1" applyAlignment="1">
      <alignment horizontal="right" vertical="center" wrapText="1"/>
    </xf>
    <xf numFmtId="3" fontId="20" fillId="34" borderId="10" xfId="1" applyNumberFormat="1" applyFont="1" applyFill="1" applyBorder="1" applyAlignment="1">
      <alignment horizontal="right" vertical="center" wrapText="1"/>
    </xf>
    <xf numFmtId="3" fontId="20" fillId="34" borderId="12" xfId="0" applyNumberFormat="1" applyFont="1" applyFill="1" applyBorder="1" applyAlignment="1">
      <alignment horizontal="right" vertical="center"/>
    </xf>
    <xf numFmtId="0" fontId="20" fillId="34" borderId="10" xfId="0" applyFont="1" applyFill="1" applyBorder="1" applyAlignment="1">
      <alignment horizontal="right" vertical="center"/>
    </xf>
    <xf numFmtId="3" fontId="21" fillId="34" borderId="12" xfId="1" applyNumberFormat="1" applyFont="1" applyFill="1" applyBorder="1" applyAlignment="1">
      <alignment horizontal="right" vertical="center" wrapText="1"/>
    </xf>
    <xf numFmtId="3" fontId="21" fillId="34" borderId="0" xfId="1" applyNumberFormat="1" applyFont="1" applyFill="1" applyBorder="1" applyAlignment="1">
      <alignment horizontal="right" vertical="center" wrapText="1"/>
    </xf>
    <xf numFmtId="0" fontId="20" fillId="33" borderId="0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right" vertical="center"/>
    </xf>
    <xf numFmtId="0" fontId="20" fillId="34" borderId="0" xfId="0" applyFont="1" applyFill="1" applyBorder="1" applyAlignment="1">
      <alignment horizontal="left" vertical="center"/>
    </xf>
    <xf numFmtId="0" fontId="21" fillId="34" borderId="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left" vertical="center"/>
    </xf>
    <xf numFmtId="0" fontId="20" fillId="34" borderId="15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3" fontId="26" fillId="34" borderId="12" xfId="0" applyNumberFormat="1" applyFont="1" applyFill="1" applyBorder="1" applyAlignment="1">
      <alignment horizontal="right" vertical="center"/>
    </xf>
    <xf numFmtId="3" fontId="26" fillId="34" borderId="10" xfId="0" applyNumberFormat="1" applyFont="1" applyFill="1" applyBorder="1" applyAlignment="1">
      <alignment horizontal="right" vertical="center"/>
    </xf>
    <xf numFmtId="3" fontId="20" fillId="34" borderId="16" xfId="0" applyNumberFormat="1" applyFont="1" applyFill="1" applyBorder="1" applyAlignment="1">
      <alignment horizontal="right" vertical="center"/>
    </xf>
    <xf numFmtId="3" fontId="20" fillId="34" borderId="18" xfId="0" applyNumberFormat="1" applyFont="1" applyFill="1" applyBorder="1" applyAlignment="1">
      <alignment horizontal="right" vertical="center"/>
    </xf>
    <xf numFmtId="0" fontId="20" fillId="34" borderId="20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left"/>
    </xf>
    <xf numFmtId="0" fontId="20" fillId="34" borderId="10" xfId="0" applyFont="1" applyFill="1" applyBorder="1" applyAlignment="1">
      <alignment horizontal="left"/>
    </xf>
    <xf numFmtId="3" fontId="21" fillId="34" borderId="12" xfId="0" applyNumberFormat="1" applyFont="1" applyFill="1" applyBorder="1" applyAlignment="1">
      <alignment horizontal="right"/>
    </xf>
    <xf numFmtId="3" fontId="21" fillId="34" borderId="10" xfId="0" applyNumberFormat="1" applyFont="1" applyFill="1" applyBorder="1" applyAlignment="1">
      <alignment horizontal="right"/>
    </xf>
    <xf numFmtId="3" fontId="21" fillId="34" borderId="16" xfId="0" applyNumberFormat="1" applyFont="1" applyFill="1" applyBorder="1" applyAlignment="1">
      <alignment horizontal="right"/>
    </xf>
    <xf numFmtId="3" fontId="21" fillId="34" borderId="18" xfId="0" applyNumberFormat="1" applyFont="1" applyFill="1" applyBorder="1" applyAlignment="1">
      <alignment horizontal="right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IVI%20CCE\NOTAS%20VIGENCIA%202013\ECB%20Diciembre%202013%20def%2017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"/>
      <sheetName val="Est. Act. FESA"/>
      <sheetName val="Hoja1"/>
    </sheetNames>
    <sheetDataSet>
      <sheetData sheetId="0">
        <row r="20">
          <cell r="B20" t="str">
            <v>Inversiones Administración de Liquidez</v>
          </cell>
        </row>
        <row r="21">
          <cell r="B21" t="str">
            <v>en Títulos de Deuda</v>
          </cell>
        </row>
      </sheetData>
      <sheetData sheetId="1">
        <row r="33">
          <cell r="B33" t="str">
            <v>Generales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topLeftCell="A16" zoomScaleNormal="100" workbookViewId="0">
      <selection activeCell="N27" sqref="N27"/>
    </sheetView>
  </sheetViews>
  <sheetFormatPr baseColWidth="10" defaultRowHeight="12.75" x14ac:dyDescent="0.25"/>
  <cols>
    <col min="1" max="1" width="1" style="10" customWidth="1"/>
    <col min="2" max="2" width="28.42578125" style="10" customWidth="1"/>
    <col min="3" max="3" width="5.85546875" style="10" customWidth="1"/>
    <col min="4" max="4" width="12.85546875" style="18" customWidth="1"/>
    <col min="5" max="5" width="0.7109375" style="10" customWidth="1"/>
    <col min="6" max="6" width="12.5703125" style="10" customWidth="1"/>
    <col min="7" max="7" width="2.7109375" style="10" customWidth="1"/>
    <col min="8" max="8" width="28.7109375" style="10" customWidth="1"/>
    <col min="9" max="9" width="4.5703125" style="21" customWidth="1"/>
    <col min="10" max="10" width="14.42578125" style="10" customWidth="1"/>
    <col min="11" max="11" width="0.7109375" style="10" customWidth="1"/>
    <col min="12" max="12" width="13.28515625" style="10" customWidth="1"/>
    <col min="13" max="13" width="1" style="10" customWidth="1"/>
    <col min="14" max="14" width="15.7109375" style="10" customWidth="1"/>
    <col min="15" max="15" width="1.7109375" style="10" customWidth="1"/>
    <col min="16" max="16" width="11.140625" style="10" customWidth="1"/>
    <col min="17" max="17" width="11.85546875" style="10" customWidth="1"/>
    <col min="18" max="18" width="11.42578125" style="10"/>
    <col min="19" max="19" width="15.85546875" style="12" customWidth="1"/>
    <col min="20" max="20" width="11.42578125" style="10"/>
    <col min="21" max="21" width="10.140625" style="10" customWidth="1"/>
    <col min="22" max="22" width="10.42578125" style="10" customWidth="1"/>
    <col min="23" max="16384" width="11.42578125" style="10"/>
  </cols>
  <sheetData>
    <row r="1" spans="2:19" x14ac:dyDescent="0.25">
      <c r="B1" s="231" t="s">
        <v>54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N1" s="10">
        <v>1000</v>
      </c>
    </row>
    <row r="2" spans="2:19" x14ac:dyDescent="0.25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2:19" x14ac:dyDescent="0.25">
      <c r="B3" s="231" t="s">
        <v>222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2:19" x14ac:dyDescent="0.25">
      <c r="B4" s="231" t="s">
        <v>44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2:19" ht="15" customHeight="1" x14ac:dyDescent="0.25">
      <c r="B5" s="231" t="s">
        <v>45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2:19" ht="8.25" customHeight="1" x14ac:dyDescent="0.25">
      <c r="D6" s="133"/>
      <c r="J6" s="134"/>
    </row>
    <row r="7" spans="2:19" ht="12" customHeight="1" x14ac:dyDescent="0.25"/>
    <row r="8" spans="2:19" s="30" customFormat="1" ht="13.5" x14ac:dyDescent="0.25">
      <c r="B8" s="230" t="s">
        <v>20</v>
      </c>
      <c r="C8" s="230"/>
      <c r="D8" s="65" t="s">
        <v>40</v>
      </c>
      <c r="E8" s="46"/>
      <c r="F8" s="65" t="s">
        <v>41</v>
      </c>
      <c r="G8" s="10"/>
      <c r="H8" s="232" t="s">
        <v>42</v>
      </c>
      <c r="I8" s="230"/>
      <c r="J8" s="65" t="s">
        <v>40</v>
      </c>
      <c r="K8" s="46"/>
      <c r="L8" s="65" t="s">
        <v>41</v>
      </c>
      <c r="N8" s="31"/>
      <c r="S8" s="31"/>
    </row>
    <row r="9" spans="2:19" x14ac:dyDescent="0.25">
      <c r="B9" s="230"/>
      <c r="C9" s="230"/>
      <c r="D9" s="33">
        <v>42674</v>
      </c>
      <c r="E9" s="17"/>
      <c r="F9" s="33">
        <v>42308</v>
      </c>
      <c r="G9" s="16"/>
      <c r="H9" s="230"/>
      <c r="I9" s="230"/>
      <c r="J9" s="33">
        <v>42674</v>
      </c>
      <c r="K9" s="17"/>
      <c r="L9" s="33">
        <v>42308</v>
      </c>
      <c r="N9" s="12"/>
    </row>
    <row r="10" spans="2:19" x14ac:dyDescent="0.25">
      <c r="B10" s="46"/>
      <c r="C10" s="46"/>
      <c r="D10" s="17"/>
      <c r="E10" s="17"/>
      <c r="F10" s="17"/>
      <c r="G10" s="16"/>
      <c r="H10" s="46"/>
      <c r="I10" s="46"/>
      <c r="J10" s="17"/>
      <c r="K10" s="17"/>
      <c r="L10" s="17"/>
      <c r="N10" s="12"/>
    </row>
    <row r="11" spans="2:19" x14ac:dyDescent="0.25">
      <c r="B11" s="14"/>
      <c r="E11" s="16"/>
      <c r="F11" s="18"/>
      <c r="I11" s="19"/>
    </row>
    <row r="12" spans="2:19" ht="16.5" customHeight="1" x14ac:dyDescent="0.25">
      <c r="B12" s="14" t="s">
        <v>1</v>
      </c>
      <c r="C12" s="46"/>
      <c r="D12" s="42">
        <f>+D14+D18+D23+D26</f>
        <v>737708.81779</v>
      </c>
      <c r="F12" s="42">
        <f>+F14+F18+F23+F26</f>
        <v>1388057.7976900002</v>
      </c>
      <c r="H12" s="14" t="s">
        <v>5</v>
      </c>
      <c r="I12" s="46"/>
      <c r="J12" s="20">
        <f>+J15+J27+J30+J23</f>
        <v>1137929.6672499999</v>
      </c>
      <c r="L12" s="22">
        <f>+L15+L23+L27+L30</f>
        <v>663342.97203000006</v>
      </c>
      <c r="N12" s="43"/>
    </row>
    <row r="13" spans="2:19" x14ac:dyDescent="0.25">
      <c r="C13" s="46"/>
      <c r="D13" s="21"/>
      <c r="F13" s="21"/>
      <c r="H13" s="28"/>
      <c r="I13" s="46"/>
      <c r="J13" s="21"/>
      <c r="L13" s="23"/>
      <c r="Q13" s="12"/>
    </row>
    <row r="14" spans="2:19" ht="15" customHeight="1" x14ac:dyDescent="0.25">
      <c r="B14" s="14" t="s">
        <v>2</v>
      </c>
      <c r="C14" s="46"/>
      <c r="D14" s="22">
        <f>SUM(D15:D16)</f>
        <v>479688.42</v>
      </c>
      <c r="F14" s="22">
        <f>SUM(F15:F16)</f>
        <v>241499.36674999999</v>
      </c>
    </row>
    <row r="15" spans="2:19" ht="16.5" customHeight="1" x14ac:dyDescent="0.25">
      <c r="B15" s="10" t="s">
        <v>51</v>
      </c>
      <c r="D15" s="44">
        <f>38000000/1000</f>
        <v>38000</v>
      </c>
      <c r="F15" s="170">
        <v>37300</v>
      </c>
      <c r="H15" s="29" t="s">
        <v>6</v>
      </c>
      <c r="I15" s="46"/>
      <c r="J15" s="22">
        <f>SUM(J17:J20)</f>
        <v>395933.87899999996</v>
      </c>
      <c r="L15" s="22">
        <f>SUM(L17:L20)</f>
        <v>326051.61900000001</v>
      </c>
    </row>
    <row r="16" spans="2:19" ht="15" customHeight="1" x14ac:dyDescent="0.25">
      <c r="B16" s="10" t="s">
        <v>3</v>
      </c>
      <c r="C16" s="46"/>
      <c r="D16" s="210">
        <f>441688420/1000</f>
        <v>441688.42</v>
      </c>
      <c r="F16" s="39">
        <v>204199.36674999999</v>
      </c>
    </row>
    <row r="17" spans="2:17" ht="13.5" customHeight="1" x14ac:dyDescent="0.25">
      <c r="D17" s="40"/>
      <c r="F17" s="7"/>
      <c r="H17" s="10" t="s">
        <v>55</v>
      </c>
      <c r="J17" s="62">
        <f>149653200/1000</f>
        <v>149653.20000000001</v>
      </c>
      <c r="L17" s="132">
        <v>224247.38200000001</v>
      </c>
      <c r="P17" s="23"/>
    </row>
    <row r="18" spans="2:17" ht="12.75" customHeight="1" x14ac:dyDescent="0.25">
      <c r="B18" s="14" t="s">
        <v>80</v>
      </c>
      <c r="C18" s="46"/>
      <c r="D18" s="224">
        <f>SUM(D20)</f>
        <v>0</v>
      </c>
      <c r="F18" s="226">
        <f>+F20</f>
        <v>0</v>
      </c>
      <c r="H18" s="10" t="s">
        <v>7</v>
      </c>
      <c r="J18" s="62">
        <f>114100758/1000</f>
        <v>114100.758</v>
      </c>
      <c r="L18" s="132">
        <v>2200</v>
      </c>
      <c r="P18" s="23"/>
      <c r="Q18" s="23"/>
    </row>
    <row r="19" spans="2:17" ht="15" customHeight="1" x14ac:dyDescent="0.25">
      <c r="B19" s="14" t="s">
        <v>81</v>
      </c>
      <c r="D19" s="225"/>
      <c r="F19" s="227"/>
      <c r="H19" s="10" t="s">
        <v>47</v>
      </c>
      <c r="I19" s="46"/>
      <c r="J19" s="38">
        <f>132179921/1000</f>
        <v>132179.921</v>
      </c>
      <c r="L19" s="38">
        <v>99604.236999999994</v>
      </c>
    </row>
    <row r="20" spans="2:17" ht="13.5" customHeight="1" x14ac:dyDescent="0.25">
      <c r="B20" s="10" t="s">
        <v>83</v>
      </c>
      <c r="D20" s="228">
        <v>0</v>
      </c>
      <c r="F20" s="222">
        <v>0</v>
      </c>
      <c r="H20" s="10" t="s">
        <v>99</v>
      </c>
      <c r="I20" s="46"/>
      <c r="J20" s="126">
        <v>0</v>
      </c>
      <c r="L20" s="23">
        <v>0</v>
      </c>
      <c r="P20" s="23"/>
    </row>
    <row r="21" spans="2:17" ht="13.5" customHeight="1" x14ac:dyDescent="0.25">
      <c r="B21" s="10" t="s">
        <v>84</v>
      </c>
      <c r="D21" s="229"/>
      <c r="F21" s="223"/>
      <c r="Q21" s="24"/>
    </row>
    <row r="22" spans="2:17" ht="12.75" customHeight="1" x14ac:dyDescent="0.25">
      <c r="F22" s="64"/>
    </row>
    <row r="23" spans="2:17" ht="15.75" customHeight="1" x14ac:dyDescent="0.25">
      <c r="B23" s="14" t="s">
        <v>92</v>
      </c>
      <c r="C23" s="46"/>
      <c r="D23" s="22">
        <f>SUM(D24:D24)</f>
        <v>251768.39778999999</v>
      </c>
      <c r="F23" s="42">
        <f>+F24</f>
        <v>1135280.7389400001</v>
      </c>
      <c r="H23" s="14" t="s">
        <v>214</v>
      </c>
      <c r="I23" s="206"/>
      <c r="J23" s="37">
        <f>SUM(J25)</f>
        <v>183229.76699999999</v>
      </c>
      <c r="L23" s="37">
        <f>SUM(L25)</f>
        <v>0</v>
      </c>
    </row>
    <row r="24" spans="2:17" ht="15" customHeight="1" x14ac:dyDescent="0.25">
      <c r="B24" s="10" t="s">
        <v>148</v>
      </c>
      <c r="D24" s="39">
        <f>251768397.79/1000</f>
        <v>251768.39778999999</v>
      </c>
      <c r="F24" s="41">
        <v>1135280.7389400001</v>
      </c>
      <c r="H24" s="14" t="s">
        <v>215</v>
      </c>
      <c r="I24" s="206"/>
      <c r="J24" s="38"/>
      <c r="L24" s="207"/>
    </row>
    <row r="25" spans="2:17" ht="14.25" customHeight="1" x14ac:dyDescent="0.25">
      <c r="H25" s="10" t="s">
        <v>56</v>
      </c>
      <c r="I25" s="206"/>
      <c r="J25" s="38">
        <f>183229767/1000</f>
        <v>183229.76699999999</v>
      </c>
      <c r="L25" s="207">
        <v>0</v>
      </c>
    </row>
    <row r="26" spans="2:17" ht="18" customHeight="1" x14ac:dyDescent="0.25">
      <c r="B26" s="14" t="s">
        <v>94</v>
      </c>
      <c r="C26" s="195"/>
      <c r="D26" s="42">
        <f>+D27+D28+D29</f>
        <v>6252</v>
      </c>
      <c r="F26" s="42">
        <f>+F27+F28+F29</f>
        <v>11277.691999999999</v>
      </c>
      <c r="P26" s="12"/>
    </row>
    <row r="27" spans="2:17" ht="16.5" customHeight="1" x14ac:dyDescent="0.25">
      <c r="B27" s="10" t="s">
        <v>193</v>
      </c>
      <c r="D27" s="39">
        <f>6252000/1000</f>
        <v>6252</v>
      </c>
      <c r="F27" s="135">
        <v>0</v>
      </c>
      <c r="H27" s="14" t="s">
        <v>211</v>
      </c>
      <c r="I27" s="125"/>
      <c r="J27" s="37">
        <f>+J28</f>
        <v>558766.02124999999</v>
      </c>
      <c r="L27" s="37">
        <f>SUM(L28)</f>
        <v>331774.98502999998</v>
      </c>
    </row>
    <row r="28" spans="2:17" ht="15" customHeight="1" x14ac:dyDescent="0.2">
      <c r="B28" s="10" t="s">
        <v>194</v>
      </c>
      <c r="D28" s="209">
        <v>0</v>
      </c>
      <c r="F28" s="180">
        <v>0</v>
      </c>
      <c r="H28" s="208" t="s">
        <v>212</v>
      </c>
      <c r="I28" s="138"/>
      <c r="J28" s="38">
        <f>558766021.25/1000</f>
        <v>558766.02124999999</v>
      </c>
      <c r="L28" s="174">
        <v>331774.98502999998</v>
      </c>
      <c r="Q28" s="12"/>
    </row>
    <row r="29" spans="2:17" ht="15" customHeight="1" x14ac:dyDescent="0.25">
      <c r="B29" s="10" t="s">
        <v>221</v>
      </c>
      <c r="D29" s="214">
        <v>0</v>
      </c>
      <c r="F29" s="218">
        <v>11277.691999999999</v>
      </c>
      <c r="Q29" s="12"/>
    </row>
    <row r="30" spans="2:17" x14ac:dyDescent="0.25">
      <c r="D30" s="39"/>
      <c r="F30" s="180"/>
      <c r="H30" s="14" t="s">
        <v>150</v>
      </c>
      <c r="I30" s="19"/>
      <c r="J30" s="22">
        <f>+J31</f>
        <v>0</v>
      </c>
      <c r="L30" s="22">
        <f>+L31</f>
        <v>5516.3680000000004</v>
      </c>
      <c r="Q30" s="12"/>
    </row>
    <row r="31" spans="2:17" ht="17.25" customHeight="1" x14ac:dyDescent="0.25">
      <c r="B31" s="14" t="s">
        <v>65</v>
      </c>
      <c r="C31" s="46"/>
      <c r="D31" s="37">
        <f>+D33+D42</f>
        <v>1641703.0366399998</v>
      </c>
      <c r="F31" s="37">
        <f>+F33+F42</f>
        <v>2546715.5794099998</v>
      </c>
      <c r="H31" s="10" t="s">
        <v>151</v>
      </c>
      <c r="J31" s="163">
        <v>0</v>
      </c>
      <c r="L31" s="136">
        <v>5516.3680000000004</v>
      </c>
    </row>
    <row r="32" spans="2:17" ht="21.75" customHeight="1" x14ac:dyDescent="0.25">
      <c r="B32" s="14"/>
      <c r="C32" s="46"/>
      <c r="D32" s="42"/>
      <c r="F32" s="42"/>
    </row>
    <row r="33" spans="2:17" ht="15.75" customHeight="1" x14ac:dyDescent="0.25">
      <c r="B33" s="14" t="s">
        <v>62</v>
      </c>
      <c r="C33" s="46"/>
      <c r="D33" s="63">
        <f>SUM(D34:D40)</f>
        <v>1451340.4727100001</v>
      </c>
      <c r="F33" s="178">
        <f>SUM(F34:F40)</f>
        <v>1570428.15447</v>
      </c>
      <c r="H33" s="14" t="s">
        <v>8</v>
      </c>
      <c r="I33" s="46"/>
      <c r="J33" s="20">
        <f>+J37</f>
        <v>1241482.1871799966</v>
      </c>
      <c r="L33" s="20">
        <f>+L37</f>
        <v>3271430.4050699985</v>
      </c>
      <c r="P33" s="23"/>
    </row>
    <row r="34" spans="2:17" ht="14.25" customHeight="1" x14ac:dyDescent="0.25">
      <c r="B34" s="10" t="s">
        <v>184</v>
      </c>
      <c r="C34" s="164"/>
      <c r="D34" s="165">
        <f>10394548/1000</f>
        <v>10394.548000000001</v>
      </c>
      <c r="F34" s="165">
        <v>101169.01243999999</v>
      </c>
    </row>
    <row r="35" spans="2:17" ht="14.25" customHeight="1" x14ac:dyDescent="0.25">
      <c r="B35" s="10" t="s">
        <v>189</v>
      </c>
      <c r="C35" s="176"/>
      <c r="D35" s="177">
        <f>16906480/1000</f>
        <v>16906.48</v>
      </c>
      <c r="F35" s="177">
        <v>10245.540000000001</v>
      </c>
    </row>
    <row r="36" spans="2:17" ht="13.5" customHeight="1" x14ac:dyDescent="0.25">
      <c r="B36" s="10" t="s">
        <v>63</v>
      </c>
      <c r="D36" s="39">
        <f>13110600/1000</f>
        <v>13110.6</v>
      </c>
      <c r="F36" s="62">
        <v>10721</v>
      </c>
    </row>
    <row r="37" spans="2:17" ht="18.75" customHeight="1" x14ac:dyDescent="0.25">
      <c r="B37" s="10" t="s">
        <v>153</v>
      </c>
      <c r="D37" s="39">
        <f>925544507.08/1000</f>
        <v>925544.50708000001</v>
      </c>
      <c r="F37" s="180">
        <v>938351.25708000001</v>
      </c>
      <c r="H37" s="14" t="s">
        <v>46</v>
      </c>
      <c r="I37" s="46"/>
      <c r="J37" s="20">
        <f>SUM(J39:J45)</f>
        <v>1241482.1871799966</v>
      </c>
      <c r="L37" s="20">
        <f>SUM(L39:L44)</f>
        <v>3271430.4050699985</v>
      </c>
    </row>
    <row r="38" spans="2:17" ht="14.25" customHeight="1" x14ac:dyDescent="0.25">
      <c r="B38" s="10" t="s">
        <v>93</v>
      </c>
      <c r="D38" s="39">
        <f>958405950/1000</f>
        <v>958405.95</v>
      </c>
      <c r="F38" s="39">
        <v>735804.81355999992</v>
      </c>
    </row>
    <row r="39" spans="2:17" ht="14.25" customHeight="1" x14ac:dyDescent="0.25">
      <c r="B39" s="10" t="s">
        <v>152</v>
      </c>
      <c r="D39" s="38">
        <f>3560320/1000</f>
        <v>3560.32</v>
      </c>
      <c r="F39" s="38">
        <v>2820.9</v>
      </c>
      <c r="H39" s="10" t="s">
        <v>97</v>
      </c>
      <c r="I39" s="46"/>
      <c r="J39" s="221">
        <f>782691388.15/1000</f>
        <v>782691.38815000001</v>
      </c>
      <c r="L39" s="39">
        <v>2395087.5023699999</v>
      </c>
      <c r="N39" s="217"/>
      <c r="P39" s="212"/>
      <c r="Q39" s="43"/>
    </row>
    <row r="40" spans="2:17" ht="15" customHeight="1" x14ac:dyDescent="0.25">
      <c r="B40" s="10" t="s">
        <v>64</v>
      </c>
      <c r="C40" s="46"/>
      <c r="D40" s="39">
        <f>-476581932.37/1000</f>
        <v>-476581.93236999999</v>
      </c>
      <c r="F40" s="39">
        <v>-228684.36861</v>
      </c>
      <c r="H40" s="10" t="s">
        <v>147</v>
      </c>
      <c r="J40" s="223">
        <f>-818064626/1000</f>
        <v>-818064.62600000005</v>
      </c>
      <c r="L40" s="139">
        <v>0</v>
      </c>
      <c r="P40" s="213"/>
    </row>
    <row r="41" spans="2:17" ht="15.75" customHeight="1" x14ac:dyDescent="0.25">
      <c r="H41" s="10" t="s">
        <v>36</v>
      </c>
      <c r="I41" s="46"/>
      <c r="J41" s="221">
        <f>+'Est. Act. FESA'!G70</f>
        <v>2388285.9092499968</v>
      </c>
      <c r="L41" s="38">
        <f>+'Est. Act. FESA'!I70</f>
        <v>1838591.0869099994</v>
      </c>
      <c r="Q41" s="43"/>
    </row>
    <row r="42" spans="2:17" ht="18.75" customHeight="1" x14ac:dyDescent="0.25">
      <c r="B42" s="14" t="s">
        <v>87</v>
      </c>
      <c r="C42" s="46"/>
      <c r="D42" s="37">
        <f>SUM(D43:D45)</f>
        <v>190362.56392999971</v>
      </c>
      <c r="F42" s="37">
        <f>SUM(E43:F45)</f>
        <v>976287.42494000006</v>
      </c>
      <c r="H42" s="10" t="s">
        <v>154</v>
      </c>
      <c r="J42" s="219">
        <v>0</v>
      </c>
      <c r="L42" s="23">
        <v>20501.373</v>
      </c>
    </row>
    <row r="43" spans="2:17" ht="18" customHeight="1" x14ac:dyDescent="0.25">
      <c r="B43" s="10" t="s">
        <v>191</v>
      </c>
      <c r="C43" s="179"/>
      <c r="D43" s="38">
        <v>0</v>
      </c>
      <c r="F43" s="38">
        <v>1194.5515600000001</v>
      </c>
      <c r="H43" s="10" t="s">
        <v>90</v>
      </c>
      <c r="J43" s="220">
        <f>-1111430484.22/1000</f>
        <v>-1111430.48422</v>
      </c>
      <c r="L43" s="175">
        <v>-982749.55721</v>
      </c>
    </row>
    <row r="44" spans="2:17" ht="18" customHeight="1" x14ac:dyDescent="0.25">
      <c r="B44" s="10" t="s">
        <v>88</v>
      </c>
      <c r="D44" s="39">
        <f>2865875073.12/1000</f>
        <v>2865875.0731199998</v>
      </c>
      <c r="F44" s="38">
        <v>2680441.2470800001</v>
      </c>
      <c r="H44" s="10" t="s">
        <v>91</v>
      </c>
      <c r="J44" s="220"/>
      <c r="L44" s="175"/>
      <c r="N44" s="12"/>
    </row>
    <row r="45" spans="2:17" ht="14.25" customHeight="1" x14ac:dyDescent="0.25">
      <c r="B45" s="10" t="s">
        <v>89</v>
      </c>
      <c r="C45" s="46"/>
      <c r="D45" s="39">
        <f>-2675512509.19/1000</f>
        <v>-2675512.5091900001</v>
      </c>
      <c r="F45" s="39">
        <v>-1705348.3737000001</v>
      </c>
      <c r="J45" s="175"/>
      <c r="L45" s="175"/>
      <c r="N45" s="12"/>
    </row>
    <row r="46" spans="2:17" x14ac:dyDescent="0.25">
      <c r="I46" s="46"/>
      <c r="N46" s="12"/>
    </row>
    <row r="47" spans="2:17" ht="18.75" customHeight="1" thickBot="1" x14ac:dyDescent="0.3">
      <c r="B47" s="66" t="s">
        <v>4</v>
      </c>
      <c r="C47" s="131"/>
      <c r="D47" s="166">
        <f>+D12+D31</f>
        <v>2379411.8544299998</v>
      </c>
      <c r="E47" s="19"/>
      <c r="F47" s="166">
        <f>+F12+F31</f>
        <v>3934773.3771000002</v>
      </c>
      <c r="H47" s="66" t="s">
        <v>9</v>
      </c>
      <c r="I47" s="131"/>
      <c r="J47" s="166">
        <f>+J12+J33</f>
        <v>2379411.8544299966</v>
      </c>
      <c r="K47" s="19"/>
      <c r="L47" s="166">
        <f>+L12+L33</f>
        <v>3934773.3770999983</v>
      </c>
      <c r="N47" s="36">
        <f>+D47-J47</f>
        <v>0</v>
      </c>
      <c r="O47" s="14"/>
      <c r="P47" s="36">
        <f>+F47-L47</f>
        <v>0</v>
      </c>
    </row>
    <row r="48" spans="2:17" ht="13.5" thickTop="1" x14ac:dyDescent="0.25">
      <c r="B48" s="14"/>
      <c r="C48" s="164"/>
      <c r="D48" s="19"/>
      <c r="E48" s="19"/>
      <c r="F48" s="19"/>
      <c r="H48" s="14"/>
      <c r="I48" s="164"/>
      <c r="J48" s="19"/>
      <c r="K48" s="19"/>
      <c r="L48" s="19"/>
      <c r="N48" s="36"/>
      <c r="O48" s="14"/>
      <c r="P48" s="36"/>
    </row>
    <row r="49" spans="1:17" ht="6" customHeight="1" x14ac:dyDescent="0.25">
      <c r="N49" s="12"/>
    </row>
    <row r="50" spans="1:17" ht="17.25" customHeight="1" x14ac:dyDescent="0.25">
      <c r="B50" s="14" t="s">
        <v>174</v>
      </c>
      <c r="D50" s="35">
        <f>+D51+D54</f>
        <v>0</v>
      </c>
      <c r="F50" s="211">
        <f>+F51+F54</f>
        <v>0</v>
      </c>
      <c r="H50" s="14" t="s">
        <v>175</v>
      </c>
      <c r="J50" s="216">
        <f>+J51+J54+J57</f>
        <v>0</v>
      </c>
      <c r="L50" s="211">
        <f>+L51+L54+L57</f>
        <v>0</v>
      </c>
      <c r="N50" s="12"/>
    </row>
    <row r="51" spans="1:17" ht="17.25" customHeight="1" x14ac:dyDescent="0.25">
      <c r="B51" s="14" t="s">
        <v>176</v>
      </c>
      <c r="D51" s="35">
        <f>+D52+D53</f>
        <v>12628611.6172</v>
      </c>
      <c r="F51" s="211">
        <f>+F52+F53</f>
        <v>8740394.1836600006</v>
      </c>
      <c r="H51" s="14" t="s">
        <v>218</v>
      </c>
      <c r="J51" s="211">
        <f>+J52</f>
        <v>18472646.787</v>
      </c>
      <c r="L51" s="14">
        <f>+L52</f>
        <v>0</v>
      </c>
      <c r="N51" s="12"/>
    </row>
    <row r="52" spans="1:17" ht="14.25" customHeight="1" x14ac:dyDescent="0.25">
      <c r="B52" s="10" t="s">
        <v>177</v>
      </c>
      <c r="D52" s="171">
        <f>12628611617.2/1000</f>
        <v>12628611.6172</v>
      </c>
      <c r="F52" s="23">
        <v>8370863.5136599997</v>
      </c>
      <c r="H52" s="10" t="s">
        <v>216</v>
      </c>
      <c r="J52" s="219">
        <f>18472646787/1000</f>
        <v>18472646.787</v>
      </c>
      <c r="L52" s="233">
        <v>0</v>
      </c>
      <c r="N52" s="12"/>
    </row>
    <row r="53" spans="1:17" ht="13.5" customHeight="1" x14ac:dyDescent="0.25">
      <c r="B53" s="10" t="s">
        <v>186</v>
      </c>
      <c r="D53" s="172">
        <v>0</v>
      </c>
      <c r="F53" s="23">
        <v>369530.67</v>
      </c>
      <c r="H53" s="10" t="s">
        <v>217</v>
      </c>
      <c r="J53" s="219"/>
      <c r="L53" s="233"/>
      <c r="N53" s="12"/>
      <c r="P53" s="23"/>
    </row>
    <row r="54" spans="1:17" ht="17.25" customHeight="1" x14ac:dyDescent="0.25">
      <c r="B54" s="14" t="s">
        <v>178</v>
      </c>
      <c r="D54" s="35">
        <f>+D55</f>
        <v>-12628611.6172</v>
      </c>
      <c r="E54" s="14"/>
      <c r="F54" s="211">
        <f>+F55</f>
        <v>-8740394.1836600006</v>
      </c>
      <c r="H54" s="14" t="s">
        <v>180</v>
      </c>
      <c r="J54" s="211">
        <f>+J55+J56</f>
        <v>23632566.691649999</v>
      </c>
      <c r="L54" s="211">
        <f>+L55+L56</f>
        <v>26990937.559900001</v>
      </c>
      <c r="N54" s="12"/>
      <c r="P54" s="12"/>
    </row>
    <row r="55" spans="1:17" ht="12" customHeight="1" x14ac:dyDescent="0.25">
      <c r="B55" s="10" t="s">
        <v>179</v>
      </c>
      <c r="D55" s="171">
        <f>-12628611617.2/1000</f>
        <v>-12628611.6172</v>
      </c>
      <c r="F55" s="23">
        <v>-8740394.1836600006</v>
      </c>
      <c r="H55" s="10" t="s">
        <v>181</v>
      </c>
      <c r="J55" s="38">
        <f>10375331495.49/1000</f>
        <v>10375331.49549</v>
      </c>
      <c r="L55" s="23">
        <f>15917975078.21/1000</f>
        <v>15917975.07821</v>
      </c>
      <c r="N55" s="12"/>
    </row>
    <row r="56" spans="1:17" ht="15" customHeight="1" x14ac:dyDescent="0.25">
      <c r="H56" s="10" t="s">
        <v>182</v>
      </c>
      <c r="J56" s="38">
        <f>13257235196.16/1000</f>
        <v>13257235.19616</v>
      </c>
      <c r="L56" s="23">
        <f>11072962481.69/1000</f>
        <v>11072962.481690001</v>
      </c>
      <c r="N56" s="12"/>
    </row>
    <row r="57" spans="1:17" x14ac:dyDescent="0.25">
      <c r="D57" s="45"/>
      <c r="F57" s="23"/>
      <c r="H57" s="14" t="s">
        <v>183</v>
      </c>
      <c r="J57" s="216">
        <f>+J58+J59</f>
        <v>-42105213.478650004</v>
      </c>
      <c r="L57" s="211">
        <f>+L58+L59</f>
        <v>-26990937.559900001</v>
      </c>
      <c r="N57" s="12"/>
    </row>
    <row r="58" spans="1:17" ht="12.75" customHeight="1" x14ac:dyDescent="0.25">
      <c r="D58" s="45"/>
      <c r="H58" s="10" t="s">
        <v>219</v>
      </c>
      <c r="J58" s="38">
        <f>-18472646787/1000</f>
        <v>-18472646.787</v>
      </c>
      <c r="L58" s="23">
        <v>0</v>
      </c>
      <c r="N58" s="12"/>
    </row>
    <row r="59" spans="1:17" x14ac:dyDescent="0.25">
      <c r="H59" s="10" t="s">
        <v>185</v>
      </c>
      <c r="J59" s="38">
        <f>-23632566691.65/1000</f>
        <v>-23632566.691650003</v>
      </c>
      <c r="L59" s="23">
        <f>-26990937559.9/1000</f>
        <v>-26990937.559900001</v>
      </c>
    </row>
    <row r="60" spans="1:17" x14ac:dyDescent="0.25">
      <c r="E60" s="9"/>
      <c r="F60" s="9"/>
      <c r="K60" s="11"/>
      <c r="L60" s="11"/>
      <c r="Q60" s="12"/>
    </row>
    <row r="61" spans="1:17" x14ac:dyDescent="0.25">
      <c r="E61" s="9"/>
      <c r="F61" s="9"/>
      <c r="K61" s="11"/>
      <c r="L61" s="11"/>
      <c r="Q61" s="12"/>
    </row>
    <row r="62" spans="1:17" x14ac:dyDescent="0.25">
      <c r="E62" s="9"/>
      <c r="F62" s="9"/>
      <c r="K62" s="11"/>
      <c r="L62" s="11"/>
      <c r="Q62" s="12"/>
    </row>
    <row r="63" spans="1:17" ht="12.75" customHeight="1" x14ac:dyDescent="0.25">
      <c r="A63" s="15"/>
      <c r="K63" s="46"/>
      <c r="L63" s="11"/>
    </row>
    <row r="64" spans="1:17" ht="13.5" customHeight="1" x14ac:dyDescent="0.25">
      <c r="A64" s="15"/>
      <c r="B64" s="7"/>
      <c r="C64" s="7"/>
      <c r="D64" s="8"/>
      <c r="H64" s="7"/>
      <c r="I64" s="7"/>
      <c r="J64" s="8"/>
      <c r="K64" s="16"/>
      <c r="L64" s="11"/>
    </row>
    <row r="65" spans="1:19" ht="13.5" customHeight="1" x14ac:dyDescent="0.25">
      <c r="A65" s="15"/>
      <c r="B65" s="14" t="s">
        <v>21</v>
      </c>
      <c r="D65" s="14"/>
      <c r="E65" s="46"/>
      <c r="F65" s="46"/>
      <c r="H65" s="14" t="s">
        <v>22</v>
      </c>
      <c r="I65" s="10"/>
      <c r="J65" s="14"/>
      <c r="K65" s="16"/>
      <c r="L65" s="11"/>
    </row>
    <row r="66" spans="1:19" ht="14.25" customHeight="1" x14ac:dyDescent="0.25">
      <c r="A66" s="15"/>
      <c r="B66" s="10" t="s">
        <v>50</v>
      </c>
      <c r="D66" s="10"/>
      <c r="E66" s="16"/>
      <c r="F66" s="16"/>
      <c r="H66" s="10" t="s">
        <v>85</v>
      </c>
      <c r="I66" s="10"/>
      <c r="K66" s="16"/>
      <c r="L66" s="11"/>
      <c r="Q66" s="168"/>
    </row>
    <row r="67" spans="1:19" ht="9.75" customHeight="1" x14ac:dyDescent="0.25">
      <c r="B67" s="10" t="s">
        <v>60</v>
      </c>
      <c r="D67" s="10"/>
      <c r="E67" s="16"/>
      <c r="F67" s="16"/>
      <c r="H67" s="10" t="s">
        <v>86</v>
      </c>
      <c r="I67" s="10"/>
    </row>
    <row r="68" spans="1:19" ht="11.25" customHeight="1" x14ac:dyDescent="0.25">
      <c r="D68" s="10"/>
      <c r="E68" s="16"/>
      <c r="F68" s="16"/>
      <c r="I68" s="10"/>
      <c r="N68" s="12"/>
    </row>
    <row r="69" spans="1:19" s="15" customFormat="1" ht="5.25" customHeight="1" x14ac:dyDescent="0.25">
      <c r="A69" s="10"/>
      <c r="B69" s="10"/>
      <c r="C69" s="10"/>
      <c r="D69" s="18"/>
      <c r="E69" s="10"/>
      <c r="F69" s="10"/>
      <c r="G69" s="10"/>
      <c r="H69" s="10"/>
      <c r="I69" s="21"/>
      <c r="J69" s="10"/>
      <c r="K69" s="10"/>
      <c r="L69" s="10"/>
      <c r="N69" s="32"/>
      <c r="Q69" s="10"/>
      <c r="S69" s="32"/>
    </row>
    <row r="70" spans="1:19" s="15" customFormat="1" ht="16.5" x14ac:dyDescent="0.25">
      <c r="A70" s="10"/>
      <c r="B70" s="68" t="s">
        <v>59</v>
      </c>
      <c r="C70" s="10"/>
      <c r="D70" s="18"/>
      <c r="E70" s="10"/>
      <c r="F70" s="10"/>
      <c r="G70" s="10"/>
      <c r="H70" s="10"/>
      <c r="I70" s="21"/>
      <c r="J70" s="10"/>
      <c r="K70" s="10"/>
      <c r="L70" s="10"/>
      <c r="N70" s="32"/>
      <c r="Q70" s="10"/>
      <c r="S70" s="32"/>
    </row>
    <row r="71" spans="1:19" s="15" customFormat="1" ht="16.5" x14ac:dyDescent="0.25">
      <c r="A71" s="10"/>
      <c r="B71" s="10"/>
      <c r="C71" s="10"/>
      <c r="D71" s="18"/>
      <c r="E71" s="10"/>
      <c r="F71" s="10"/>
      <c r="G71" s="10"/>
      <c r="H71" s="10"/>
      <c r="I71" s="21"/>
      <c r="J71" s="10"/>
      <c r="K71" s="10"/>
      <c r="L71" s="10"/>
      <c r="N71" s="32"/>
      <c r="Q71" s="10"/>
      <c r="S71" s="32"/>
    </row>
    <row r="72" spans="1:19" s="15" customFormat="1" ht="16.5" x14ac:dyDescent="0.25">
      <c r="A72" s="10"/>
      <c r="G72" s="10"/>
      <c r="H72" s="10"/>
      <c r="I72" s="21"/>
      <c r="J72" s="10"/>
      <c r="K72" s="10"/>
      <c r="L72" s="10"/>
      <c r="N72" s="32"/>
      <c r="S72" s="32"/>
    </row>
    <row r="73" spans="1:19" s="15" customFormat="1" ht="16.5" x14ac:dyDescent="0.25">
      <c r="A73" s="10"/>
      <c r="G73" s="10"/>
      <c r="H73" s="10"/>
      <c r="I73" s="21"/>
      <c r="J73" s="10"/>
      <c r="K73" s="10"/>
      <c r="L73" s="10"/>
      <c r="N73" s="32"/>
      <c r="S73" s="32"/>
    </row>
    <row r="74" spans="1:19" ht="16.5" x14ac:dyDescent="0.25">
      <c r="Q74" s="15"/>
    </row>
    <row r="75" spans="1:19" ht="16.5" x14ac:dyDescent="0.25">
      <c r="D75" s="10"/>
      <c r="Q75" s="15"/>
    </row>
    <row r="76" spans="1:19" ht="16.5" x14ac:dyDescent="0.25">
      <c r="Q76" s="15"/>
    </row>
  </sheetData>
  <mergeCells count="13">
    <mergeCell ref="H8:H9"/>
    <mergeCell ref="I8:I9"/>
    <mergeCell ref="L52:L53"/>
    <mergeCell ref="B1:L1"/>
    <mergeCell ref="B2:L2"/>
    <mergeCell ref="B3:L3"/>
    <mergeCell ref="B4:L4"/>
    <mergeCell ref="B5:L5"/>
    <mergeCell ref="D18:D19"/>
    <mergeCell ref="F18:F19"/>
    <mergeCell ref="D20:D21"/>
    <mergeCell ref="B8:B9"/>
    <mergeCell ref="C8:C9"/>
  </mergeCells>
  <printOptions horizontalCentered="1"/>
  <pageMargins left="0.39370078740157483" right="0.39370078740157483" top="0.78740157480314965" bottom="0.59055118110236227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0"/>
  <sheetViews>
    <sheetView topLeftCell="A55" zoomScaleNormal="100" workbookViewId="0">
      <selection activeCell="O61" sqref="O61"/>
    </sheetView>
  </sheetViews>
  <sheetFormatPr baseColWidth="10" defaultRowHeight="12.75" x14ac:dyDescent="0.25"/>
  <cols>
    <col min="1" max="1" width="1.7109375" style="10" customWidth="1"/>
    <col min="2" max="5" width="11.28515625" style="10" customWidth="1"/>
    <col min="6" max="6" width="4.7109375" style="9" customWidth="1"/>
    <col min="7" max="7" width="13.85546875" style="10" customWidth="1"/>
    <col min="8" max="8" width="4.7109375" style="24" customWidth="1"/>
    <col min="9" max="9" width="15.7109375" style="10" customWidth="1"/>
    <col min="10" max="10" width="1.7109375" style="10" customWidth="1"/>
    <col min="11" max="11" width="12" style="10" bestFit="1" customWidth="1"/>
    <col min="12" max="12" width="15" style="10" bestFit="1" customWidth="1"/>
    <col min="13" max="13" width="11.42578125" style="10"/>
    <col min="14" max="14" width="16.42578125" style="12" customWidth="1"/>
    <col min="15" max="16384" width="11.42578125" style="10"/>
  </cols>
  <sheetData>
    <row r="1" spans="2:13" ht="15" customHeight="1" x14ac:dyDescent="0.25">
      <c r="B1" s="231" t="s">
        <v>54</v>
      </c>
      <c r="C1" s="231"/>
      <c r="D1" s="231"/>
      <c r="E1" s="231"/>
      <c r="F1" s="231"/>
      <c r="G1" s="231"/>
      <c r="H1" s="231"/>
      <c r="I1" s="231"/>
      <c r="M1" s="10">
        <v>1000</v>
      </c>
    </row>
    <row r="2" spans="2:13" ht="15" customHeight="1" x14ac:dyDescent="0.25">
      <c r="B2" s="231" t="s">
        <v>10</v>
      </c>
      <c r="C2" s="231"/>
      <c r="D2" s="231"/>
      <c r="E2" s="231"/>
      <c r="F2" s="231"/>
      <c r="G2" s="231"/>
      <c r="H2" s="231"/>
      <c r="I2" s="231"/>
    </row>
    <row r="3" spans="2:13" ht="15" customHeight="1" x14ac:dyDescent="0.25">
      <c r="B3" s="231" t="s">
        <v>223</v>
      </c>
      <c r="C3" s="231"/>
      <c r="D3" s="231"/>
      <c r="E3" s="231"/>
      <c r="F3" s="231"/>
      <c r="G3" s="231"/>
      <c r="H3" s="231"/>
      <c r="I3" s="231"/>
    </row>
    <row r="4" spans="2:13" ht="15" customHeight="1" x14ac:dyDescent="0.25">
      <c r="B4" s="231" t="s">
        <v>44</v>
      </c>
      <c r="C4" s="231"/>
      <c r="D4" s="231"/>
      <c r="E4" s="231"/>
      <c r="F4" s="231"/>
      <c r="G4" s="231"/>
      <c r="H4" s="231"/>
      <c r="I4" s="231"/>
    </row>
    <row r="5" spans="2:13" ht="15" customHeight="1" x14ac:dyDescent="0.25">
      <c r="B5" s="231" t="s">
        <v>45</v>
      </c>
      <c r="C5" s="231"/>
      <c r="D5" s="231"/>
      <c r="E5" s="231"/>
      <c r="F5" s="231"/>
      <c r="G5" s="231"/>
      <c r="H5" s="231"/>
      <c r="I5" s="231"/>
    </row>
    <row r="6" spans="2:13" ht="12" customHeight="1" x14ac:dyDescent="0.25"/>
    <row r="7" spans="2:13" ht="15" customHeight="1" x14ac:dyDescent="0.25">
      <c r="B7" s="230" t="s">
        <v>43</v>
      </c>
      <c r="C7" s="230"/>
      <c r="D7" s="230"/>
      <c r="E7" s="230"/>
      <c r="F7" s="230"/>
      <c r="G7" s="65" t="s">
        <v>40</v>
      </c>
      <c r="H7" s="46"/>
      <c r="I7" s="65" t="s">
        <v>41</v>
      </c>
      <c r="M7" s="130"/>
    </row>
    <row r="8" spans="2:13" ht="15" customHeight="1" x14ac:dyDescent="0.25">
      <c r="B8" s="230"/>
      <c r="C8" s="230"/>
      <c r="D8" s="230"/>
      <c r="E8" s="230"/>
      <c r="F8" s="230"/>
      <c r="G8" s="33">
        <v>42704</v>
      </c>
      <c r="H8" s="17"/>
      <c r="I8" s="33">
        <v>42338</v>
      </c>
    </row>
    <row r="9" spans="2:13" ht="10.5" customHeight="1" x14ac:dyDescent="0.25"/>
    <row r="10" spans="2:13" ht="15" customHeight="1" x14ac:dyDescent="0.25">
      <c r="B10" s="14" t="s">
        <v>12</v>
      </c>
      <c r="G10" s="24"/>
      <c r="H10" s="10"/>
    </row>
    <row r="11" spans="2:13" ht="8.25" customHeight="1" x14ac:dyDescent="0.25">
      <c r="B11" s="14"/>
      <c r="G11" s="24"/>
      <c r="H11" s="10"/>
    </row>
    <row r="12" spans="2:13" ht="15" customHeight="1" x14ac:dyDescent="0.25">
      <c r="B12" s="14" t="s">
        <v>23</v>
      </c>
      <c r="F12" s="46"/>
      <c r="G12" s="20">
        <f>G18+G14+G22</f>
        <v>17410651.703609996</v>
      </c>
      <c r="H12" s="10"/>
      <c r="I12" s="20">
        <f>+I18+I22</f>
        <v>19072579.931600001</v>
      </c>
      <c r="K12" s="218"/>
      <c r="L12" s="23"/>
      <c r="M12" s="23"/>
    </row>
    <row r="13" spans="2:13" ht="12" customHeight="1" x14ac:dyDescent="0.25">
      <c r="F13" s="46"/>
      <c r="G13" s="24"/>
      <c r="I13" s="24"/>
      <c r="L13" s="43"/>
    </row>
    <row r="14" spans="2:13" ht="14.25" customHeight="1" x14ac:dyDescent="0.25">
      <c r="B14" s="14" t="s">
        <v>220</v>
      </c>
      <c r="F14" s="181"/>
      <c r="G14" s="22">
        <f>+G15</f>
        <v>15257.767</v>
      </c>
      <c r="H14" s="10"/>
      <c r="I14" s="22">
        <f>+I15</f>
        <v>0</v>
      </c>
      <c r="L14" s="43"/>
    </row>
    <row r="15" spans="2:13" ht="14.25" customHeight="1" x14ac:dyDescent="0.25">
      <c r="B15" s="10" t="s">
        <v>195</v>
      </c>
      <c r="F15" s="215"/>
      <c r="G15" s="214">
        <f>15257767/1000</f>
        <v>15257.767</v>
      </c>
      <c r="H15" s="10"/>
      <c r="I15" s="214">
        <v>0</v>
      </c>
      <c r="L15" s="43"/>
    </row>
    <row r="16" spans="2:13" ht="4.5" customHeight="1" x14ac:dyDescent="0.25">
      <c r="F16" s="215"/>
      <c r="G16" s="24"/>
      <c r="I16" s="24"/>
      <c r="L16" s="43"/>
    </row>
    <row r="17" spans="2:13" ht="7.5" customHeight="1" x14ac:dyDescent="0.25">
      <c r="F17" s="215"/>
      <c r="G17" s="24"/>
      <c r="I17" s="24"/>
      <c r="L17" s="43"/>
    </row>
    <row r="18" spans="2:13" ht="15" customHeight="1" x14ac:dyDescent="0.25">
      <c r="B18" s="14" t="s">
        <v>11</v>
      </c>
      <c r="F18" s="46"/>
      <c r="G18" s="22">
        <f>+G19+G20</f>
        <v>17395390.592599995</v>
      </c>
      <c r="H18" s="10"/>
      <c r="I18" s="22">
        <f>+I19+I20</f>
        <v>19000198.911600001</v>
      </c>
    </row>
    <row r="19" spans="2:13" ht="15" customHeight="1" x14ac:dyDescent="0.25">
      <c r="B19" s="10" t="s">
        <v>13</v>
      </c>
      <c r="F19" s="46"/>
      <c r="G19" s="128">
        <f>17360959501.6/1000</f>
        <v>17360959.501599997</v>
      </c>
      <c r="H19" s="10"/>
      <c r="I19" s="62">
        <v>18969337.592900001</v>
      </c>
    </row>
    <row r="20" spans="2:13" ht="15" customHeight="1" x14ac:dyDescent="0.25">
      <c r="B20" s="10" t="s">
        <v>98</v>
      </c>
      <c r="F20" s="46"/>
      <c r="G20" s="128">
        <f>34431091/1000</f>
        <v>34431.091</v>
      </c>
      <c r="H20" s="10"/>
      <c r="I20" s="62">
        <v>30861.3187</v>
      </c>
    </row>
    <row r="21" spans="2:13" ht="8.25" customHeight="1" x14ac:dyDescent="0.25">
      <c r="F21" s="46"/>
      <c r="G21" s="18"/>
      <c r="H21" s="10"/>
      <c r="I21" s="18"/>
    </row>
    <row r="22" spans="2:13" ht="15" customHeight="1" x14ac:dyDescent="0.25">
      <c r="B22" s="14" t="s">
        <v>79</v>
      </c>
      <c r="F22" s="46"/>
      <c r="G22" s="22">
        <f>SUM(G23:G24)</f>
        <v>3.3440100000000004</v>
      </c>
      <c r="H22" s="10"/>
      <c r="I22" s="22">
        <f>SUM(I23:I24)</f>
        <v>72381.02</v>
      </c>
      <c r="L22" s="23"/>
    </row>
    <row r="23" spans="2:13" ht="15" customHeight="1" x14ac:dyDescent="0.25">
      <c r="B23" s="10" t="s">
        <v>82</v>
      </c>
      <c r="F23" s="46"/>
      <c r="G23" s="128">
        <v>0</v>
      </c>
      <c r="H23" s="10"/>
      <c r="I23" s="128">
        <v>72381.02</v>
      </c>
    </row>
    <row r="24" spans="2:13" ht="12" customHeight="1" x14ac:dyDescent="0.25">
      <c r="B24" s="10" t="s">
        <v>213</v>
      </c>
      <c r="F24" s="127"/>
      <c r="G24" s="128">
        <f>3344.01/1000</f>
        <v>3.3440100000000004</v>
      </c>
      <c r="H24" s="10"/>
      <c r="I24" s="135">
        <v>0</v>
      </c>
    </row>
    <row r="25" spans="2:13" ht="8.25" customHeight="1" x14ac:dyDescent="0.25">
      <c r="F25" s="46"/>
      <c r="G25" s="128"/>
      <c r="H25" s="10"/>
      <c r="I25" s="62"/>
    </row>
    <row r="26" spans="2:13" ht="6.75" customHeight="1" x14ac:dyDescent="0.25">
      <c r="F26" s="46"/>
      <c r="G26" s="18"/>
      <c r="H26" s="10"/>
      <c r="I26" s="18"/>
    </row>
    <row r="27" spans="2:13" ht="15" customHeight="1" x14ac:dyDescent="0.25">
      <c r="B27" s="14" t="s">
        <v>14</v>
      </c>
      <c r="F27" s="46"/>
      <c r="G27" s="20">
        <f>+G29+G37+G42+G47</f>
        <v>15026978.794359999</v>
      </c>
      <c r="H27" s="10"/>
      <c r="I27" s="20">
        <f>+I29+I37+I42+I47</f>
        <v>17240127.860690001</v>
      </c>
      <c r="K27" s="218"/>
      <c r="L27" s="43"/>
      <c r="M27" s="23"/>
    </row>
    <row r="28" spans="2:13" ht="13.5" customHeight="1" x14ac:dyDescent="0.25">
      <c r="F28" s="46"/>
      <c r="G28" s="39"/>
      <c r="H28" s="10"/>
      <c r="I28" s="39"/>
      <c r="K28" s="218"/>
    </row>
    <row r="29" spans="2:13" ht="15" customHeight="1" x14ac:dyDescent="0.25">
      <c r="B29" s="14" t="s">
        <v>15</v>
      </c>
      <c r="F29" s="46"/>
      <c r="G29" s="20">
        <f>SUM(G30:G35)</f>
        <v>6488878.7911999999</v>
      </c>
      <c r="H29" s="10"/>
      <c r="I29" s="22">
        <f>SUM(I30:I35)</f>
        <v>7235511.0117400009</v>
      </c>
    </row>
    <row r="30" spans="2:13" ht="15" customHeight="1" x14ac:dyDescent="0.25">
      <c r="B30" s="10" t="s">
        <v>16</v>
      </c>
      <c r="F30" s="46"/>
      <c r="G30" s="128">
        <f>4260060171/1000</f>
        <v>4260060.1710000001</v>
      </c>
      <c r="H30" s="10"/>
      <c r="I30" s="62">
        <v>3933920.5750000002</v>
      </c>
    </row>
    <row r="31" spans="2:13" ht="15" customHeight="1" x14ac:dyDescent="0.25">
      <c r="B31" s="10" t="s">
        <v>57</v>
      </c>
      <c r="F31" s="46"/>
      <c r="G31" s="128">
        <v>0</v>
      </c>
      <c r="H31" s="10"/>
      <c r="I31" s="62">
        <v>0</v>
      </c>
    </row>
    <row r="32" spans="2:13" ht="15" customHeight="1" x14ac:dyDescent="0.25">
      <c r="B32" s="10" t="s">
        <v>17</v>
      </c>
      <c r="F32" s="46"/>
      <c r="G32" s="128">
        <f>594273964/1000</f>
        <v>594273.96400000004</v>
      </c>
      <c r="H32" s="10"/>
      <c r="I32" s="62">
        <v>513859.033</v>
      </c>
    </row>
    <row r="33" spans="2:9" ht="15" customHeight="1" x14ac:dyDescent="0.25">
      <c r="B33" s="10" t="s">
        <v>18</v>
      </c>
      <c r="F33" s="46"/>
      <c r="G33" s="128">
        <f>120755096/1000</f>
        <v>120755.09600000001</v>
      </c>
      <c r="H33" s="10"/>
      <c r="I33" s="62">
        <v>110320.78599999999</v>
      </c>
    </row>
    <row r="34" spans="2:9" ht="15" customHeight="1" x14ac:dyDescent="0.25">
      <c r="B34" s="10" t="s">
        <v>19</v>
      </c>
      <c r="F34" s="46"/>
      <c r="G34" s="128">
        <f>1485182319.2/1000</f>
        <v>1485182.3192</v>
      </c>
      <c r="H34" s="10"/>
      <c r="I34" s="62">
        <v>2647579.82504</v>
      </c>
    </row>
    <row r="35" spans="2:9" ht="15" customHeight="1" x14ac:dyDescent="0.25">
      <c r="B35" s="10" t="s">
        <v>99</v>
      </c>
      <c r="F35" s="46"/>
      <c r="G35" s="128">
        <f>28607241/1000</f>
        <v>28607.241000000002</v>
      </c>
      <c r="H35" s="10"/>
      <c r="I35" s="62">
        <v>29830.792699999998</v>
      </c>
    </row>
    <row r="36" spans="2:9" ht="10.5" customHeight="1" x14ac:dyDescent="0.25">
      <c r="F36" s="46"/>
      <c r="G36" s="39"/>
      <c r="H36" s="10"/>
      <c r="I36" s="39"/>
    </row>
    <row r="37" spans="2:9" ht="15" customHeight="1" x14ac:dyDescent="0.25">
      <c r="B37" s="14" t="s">
        <v>52</v>
      </c>
      <c r="F37" s="46"/>
      <c r="G37" s="22">
        <f>SUM(G38:G39)</f>
        <v>8537650.726329999</v>
      </c>
      <c r="H37" s="10"/>
      <c r="I37" s="22">
        <f>+I38+I39</f>
        <v>10004616.84895</v>
      </c>
    </row>
    <row r="38" spans="2:9" ht="15" customHeight="1" x14ac:dyDescent="0.25">
      <c r="B38" s="10" t="s">
        <v>149</v>
      </c>
      <c r="F38" s="46"/>
      <c r="G38" s="128">
        <v>0</v>
      </c>
      <c r="H38" s="10"/>
      <c r="I38" s="62">
        <v>0</v>
      </c>
    </row>
    <row r="39" spans="2:9" ht="15" customHeight="1" x14ac:dyDescent="0.25">
      <c r="B39" s="10" t="s">
        <v>19</v>
      </c>
      <c r="F39" s="127"/>
      <c r="G39" s="128">
        <f>8537650726.33/1000</f>
        <v>8537650.726329999</v>
      </c>
      <c r="H39" s="10"/>
      <c r="I39" s="62">
        <v>10004616.84895</v>
      </c>
    </row>
    <row r="40" spans="2:9" ht="5.25" customHeight="1" x14ac:dyDescent="0.25">
      <c r="F40" s="169"/>
      <c r="G40" s="171"/>
      <c r="H40" s="10"/>
      <c r="I40" s="171"/>
    </row>
    <row r="41" spans="2:9" ht="6" customHeight="1" x14ac:dyDescent="0.25">
      <c r="F41" s="46"/>
      <c r="H41" s="10"/>
      <c r="I41" s="39"/>
    </row>
    <row r="42" spans="2:9" ht="15" customHeight="1" x14ac:dyDescent="0.25">
      <c r="B42" s="14" t="s">
        <v>11</v>
      </c>
      <c r="F42" s="46"/>
      <c r="G42" s="22">
        <f>+G43+G44+G45</f>
        <v>295.435</v>
      </c>
      <c r="H42" s="10"/>
      <c r="I42" s="22">
        <f>+I43+I44+I45</f>
        <v>0</v>
      </c>
    </row>
    <row r="43" spans="2:9" ht="15" customHeight="1" x14ac:dyDescent="0.25">
      <c r="B43" s="10" t="s">
        <v>78</v>
      </c>
      <c r="F43" s="46"/>
      <c r="G43" s="128">
        <f>294668/1000</f>
        <v>294.66800000000001</v>
      </c>
      <c r="H43" s="10"/>
      <c r="I43" s="62">
        <v>0</v>
      </c>
    </row>
    <row r="44" spans="2:9" ht="15" customHeight="1" x14ac:dyDescent="0.25">
      <c r="B44" s="10" t="s">
        <v>77</v>
      </c>
      <c r="F44" s="46"/>
      <c r="G44" s="128">
        <v>0.76700000000000002</v>
      </c>
      <c r="H44" s="10"/>
      <c r="I44" s="62">
        <v>0</v>
      </c>
    </row>
    <row r="45" spans="2:9" ht="15" customHeight="1" x14ac:dyDescent="0.25">
      <c r="B45" s="10" t="s">
        <v>196</v>
      </c>
      <c r="F45" s="181"/>
      <c r="G45" s="180">
        <v>0</v>
      </c>
      <c r="H45" s="10"/>
      <c r="I45" s="180">
        <v>0</v>
      </c>
    </row>
    <row r="46" spans="2:9" ht="9.75" customHeight="1" x14ac:dyDescent="0.25">
      <c r="F46" s="173"/>
      <c r="G46" s="174"/>
      <c r="H46" s="10"/>
      <c r="I46" s="174"/>
    </row>
    <row r="47" spans="2:9" ht="15" customHeight="1" x14ac:dyDescent="0.25">
      <c r="B47" s="14" t="s">
        <v>187</v>
      </c>
      <c r="F47" s="173"/>
      <c r="G47" s="22">
        <f>+G49+G50</f>
        <v>153.84182999999999</v>
      </c>
      <c r="H47" s="10"/>
      <c r="I47" s="22">
        <f>+I48+I49</f>
        <v>0</v>
      </c>
    </row>
    <row r="48" spans="2:9" ht="15" customHeight="1" x14ac:dyDescent="0.25">
      <c r="B48" s="10" t="s">
        <v>188</v>
      </c>
      <c r="F48" s="181"/>
      <c r="G48" s="180">
        <v>0</v>
      </c>
      <c r="H48" s="10"/>
      <c r="I48" s="180">
        <v>0</v>
      </c>
    </row>
    <row r="49" spans="2:12" ht="15" customHeight="1" x14ac:dyDescent="0.25">
      <c r="B49" s="10" t="s">
        <v>82</v>
      </c>
      <c r="F49" s="173"/>
      <c r="G49" s="174">
        <f>153841.83/1000</f>
        <v>153.84182999999999</v>
      </c>
      <c r="H49" s="10"/>
      <c r="I49" s="174">
        <v>0</v>
      </c>
    </row>
    <row r="50" spans="2:12" ht="9" customHeight="1" x14ac:dyDescent="0.25">
      <c r="F50" s="173"/>
      <c r="G50" s="174"/>
      <c r="H50" s="10"/>
      <c r="I50" s="174"/>
    </row>
    <row r="51" spans="2:12" ht="3.75" customHeight="1" x14ac:dyDescent="0.25">
      <c r="F51" s="46"/>
      <c r="G51" s="18"/>
      <c r="H51" s="10"/>
      <c r="I51" s="18"/>
    </row>
    <row r="52" spans="2:12" ht="8.25" customHeight="1" x14ac:dyDescent="0.25">
      <c r="F52" s="46"/>
      <c r="G52" s="39"/>
      <c r="H52" s="10"/>
      <c r="I52" s="39"/>
    </row>
    <row r="53" spans="2:12" ht="15" customHeight="1" x14ac:dyDescent="0.25">
      <c r="B53" s="14" t="s">
        <v>24</v>
      </c>
      <c r="F53" s="46"/>
      <c r="G53" s="20">
        <f>+G12-G27</f>
        <v>2383672.9092499968</v>
      </c>
      <c r="H53" s="10"/>
      <c r="I53" s="20">
        <f>+I12-I27</f>
        <v>1832452.0709099993</v>
      </c>
    </row>
    <row r="54" spans="2:12" ht="15" customHeight="1" x14ac:dyDescent="0.25">
      <c r="B54" s="14"/>
      <c r="F54" s="46"/>
      <c r="G54" s="20"/>
      <c r="H54" s="10"/>
      <c r="I54" s="22"/>
      <c r="L54" s="23"/>
    </row>
    <row r="55" spans="2:12" ht="15" customHeight="1" x14ac:dyDescent="0.25">
      <c r="B55" s="14" t="s">
        <v>48</v>
      </c>
      <c r="F55" s="46"/>
      <c r="G55" s="20">
        <f>+G53</f>
        <v>2383672.9092499968</v>
      </c>
      <c r="H55" s="10"/>
      <c r="I55" s="20">
        <f>+I53</f>
        <v>1832452.0709099993</v>
      </c>
    </row>
    <row r="56" spans="2:12" ht="8.25" customHeight="1" x14ac:dyDescent="0.25">
      <c r="B56" s="14"/>
      <c r="F56" s="46"/>
      <c r="G56" s="25"/>
      <c r="H56" s="10"/>
      <c r="I56" s="35"/>
    </row>
    <row r="57" spans="2:12" ht="10.5" customHeight="1" x14ac:dyDescent="0.25">
      <c r="B57" s="14"/>
      <c r="F57" s="46"/>
      <c r="G57" s="25"/>
      <c r="H57" s="10"/>
      <c r="I57" s="35"/>
      <c r="L57" s="23"/>
    </row>
    <row r="58" spans="2:12" ht="15" customHeight="1" x14ac:dyDescent="0.25">
      <c r="B58" s="14" t="s">
        <v>75</v>
      </c>
      <c r="F58" s="46"/>
      <c r="G58" s="22">
        <f>+G60</f>
        <v>0</v>
      </c>
      <c r="H58" s="10"/>
      <c r="I58" s="22">
        <f>+I60</f>
        <v>2.3690000000000002</v>
      </c>
    </row>
    <row r="59" spans="2:12" ht="12" customHeight="1" x14ac:dyDescent="0.25">
      <c r="B59" s="14"/>
      <c r="F59" s="46"/>
      <c r="G59" s="39"/>
      <c r="H59" s="10"/>
      <c r="I59" s="39"/>
    </row>
    <row r="60" spans="2:12" ht="15" customHeight="1" x14ac:dyDescent="0.25">
      <c r="B60" s="14" t="s">
        <v>76</v>
      </c>
      <c r="F60" s="46"/>
      <c r="G60" s="22">
        <f>+G61</f>
        <v>0</v>
      </c>
      <c r="H60" s="10"/>
      <c r="I60" s="22">
        <f>+I61</f>
        <v>2.3690000000000002</v>
      </c>
    </row>
    <row r="61" spans="2:12" ht="15" customHeight="1" x14ac:dyDescent="0.25">
      <c r="B61" s="10" t="s">
        <v>74</v>
      </c>
      <c r="F61" s="46"/>
      <c r="G61" s="128">
        <v>0</v>
      </c>
      <c r="H61" s="10"/>
      <c r="I61" s="62">
        <v>2.3690000000000002</v>
      </c>
    </row>
    <row r="62" spans="2:12" ht="12.75" customHeight="1" x14ac:dyDescent="0.25">
      <c r="F62" s="46"/>
      <c r="G62" s="128"/>
      <c r="H62" s="10"/>
      <c r="I62" s="62"/>
    </row>
    <row r="63" spans="2:12" ht="15" customHeight="1" x14ac:dyDescent="0.25">
      <c r="B63" s="14" t="s">
        <v>95</v>
      </c>
      <c r="F63" s="46"/>
      <c r="G63" s="22">
        <f>+G64</f>
        <v>4613</v>
      </c>
      <c r="H63" s="10"/>
      <c r="I63" s="22">
        <f>+I64</f>
        <v>0</v>
      </c>
    </row>
    <row r="64" spans="2:12" ht="15" customHeight="1" x14ac:dyDescent="0.25">
      <c r="B64" s="10" t="s">
        <v>96</v>
      </c>
      <c r="F64" s="46"/>
      <c r="G64" s="128">
        <f>4613000/1000</f>
        <v>4613</v>
      </c>
      <c r="H64" s="10"/>
      <c r="I64" s="62">
        <v>0</v>
      </c>
    </row>
    <row r="65" spans="2:14" ht="10.5" customHeight="1" x14ac:dyDescent="0.25">
      <c r="F65" s="176"/>
      <c r="G65" s="177"/>
      <c r="H65" s="10"/>
      <c r="I65" s="177"/>
    </row>
    <row r="66" spans="2:14" ht="15" customHeight="1" x14ac:dyDescent="0.25">
      <c r="B66" s="14" t="s">
        <v>95</v>
      </c>
      <c r="F66" s="176"/>
      <c r="G66" s="22">
        <f>+G67</f>
        <v>0</v>
      </c>
      <c r="H66" s="10"/>
      <c r="I66" s="22">
        <f>+I67</f>
        <v>-6136.6469999999999</v>
      </c>
    </row>
    <row r="67" spans="2:14" ht="15" customHeight="1" x14ac:dyDescent="0.25">
      <c r="B67" s="10" t="s">
        <v>190</v>
      </c>
      <c r="F67" s="176"/>
      <c r="G67" s="177">
        <v>0</v>
      </c>
      <c r="H67" s="10"/>
      <c r="I67" s="177">
        <v>-6136.6469999999999</v>
      </c>
    </row>
    <row r="68" spans="2:14" ht="7.5" customHeight="1" x14ac:dyDescent="0.25">
      <c r="F68" s="46"/>
      <c r="G68" s="128"/>
      <c r="H68" s="10"/>
      <c r="I68" s="62"/>
    </row>
    <row r="69" spans="2:14" ht="6" customHeight="1" x14ac:dyDescent="0.25">
      <c r="F69" s="46"/>
      <c r="G69" s="39"/>
      <c r="H69" s="10"/>
      <c r="I69" s="39"/>
    </row>
    <row r="70" spans="2:14" ht="15" customHeight="1" x14ac:dyDescent="0.25">
      <c r="B70" s="66" t="s">
        <v>25</v>
      </c>
      <c r="C70" s="6"/>
      <c r="D70" s="6"/>
      <c r="E70" s="6"/>
      <c r="F70" s="46"/>
      <c r="G70" s="69">
        <f>+G55+G60+G63-G67</f>
        <v>2388285.9092499968</v>
      </c>
      <c r="H70" s="10"/>
      <c r="I70" s="69">
        <f>+I55+I60+I64-I67</f>
        <v>1838591.0869099994</v>
      </c>
      <c r="K70" s="23"/>
      <c r="L70" s="12"/>
    </row>
    <row r="71" spans="2:14" x14ac:dyDescent="0.25">
      <c r="G71" s="18"/>
      <c r="H71" s="10"/>
      <c r="L71" s="12"/>
    </row>
    <row r="72" spans="2:14" ht="12.75" customHeight="1" x14ac:dyDescent="0.25">
      <c r="G72" s="43"/>
      <c r="I72" s="43"/>
      <c r="L72" s="12"/>
      <c r="M72" s="167"/>
    </row>
    <row r="73" spans="2:14" ht="12.75" customHeight="1" x14ac:dyDescent="0.25">
      <c r="G73" s="43"/>
      <c r="I73" s="43"/>
      <c r="L73" s="12"/>
      <c r="M73" s="167"/>
    </row>
    <row r="74" spans="2:14" ht="12.75" customHeight="1" x14ac:dyDescent="0.25">
      <c r="G74" s="43"/>
    </row>
    <row r="75" spans="2:14" x14ac:dyDescent="0.25">
      <c r="B75" s="7"/>
      <c r="C75" s="7"/>
      <c r="D75" s="7"/>
      <c r="F75" s="10"/>
      <c r="G75" s="7"/>
      <c r="H75" s="7"/>
      <c r="I75" s="7"/>
    </row>
    <row r="76" spans="2:14" s="15" customFormat="1" ht="15" customHeight="1" x14ac:dyDescent="0.25">
      <c r="B76" s="234" t="s">
        <v>21</v>
      </c>
      <c r="C76" s="234"/>
      <c r="D76" s="234"/>
      <c r="E76" s="14"/>
      <c r="F76" s="14"/>
      <c r="G76" s="234" t="s">
        <v>22</v>
      </c>
      <c r="H76" s="234"/>
      <c r="I76" s="234"/>
      <c r="J76" s="13"/>
      <c r="N76" s="32"/>
    </row>
    <row r="77" spans="2:14" s="15" customFormat="1" ht="13.5" customHeight="1" x14ac:dyDescent="0.25">
      <c r="B77" s="235" t="s">
        <v>49</v>
      </c>
      <c r="C77" s="235"/>
      <c r="D77" s="235"/>
      <c r="E77" s="10"/>
      <c r="F77" s="10"/>
      <c r="G77" s="235" t="s">
        <v>85</v>
      </c>
      <c r="H77" s="235"/>
      <c r="I77" s="235"/>
      <c r="N77" s="32"/>
    </row>
    <row r="78" spans="2:14" s="15" customFormat="1" ht="15.75" customHeight="1" x14ac:dyDescent="0.25">
      <c r="B78" s="235" t="s">
        <v>60</v>
      </c>
      <c r="C78" s="235"/>
      <c r="D78" s="235"/>
      <c r="E78" s="10"/>
      <c r="F78" s="10"/>
      <c r="G78" s="235" t="s">
        <v>86</v>
      </c>
      <c r="H78" s="235"/>
      <c r="I78" s="235"/>
      <c r="N78" s="32"/>
    </row>
    <row r="79" spans="2:14" s="15" customFormat="1" ht="12" customHeight="1" x14ac:dyDescent="0.25">
      <c r="B79" s="129"/>
      <c r="C79" s="70"/>
      <c r="D79" s="70"/>
      <c r="E79" s="10"/>
      <c r="F79" s="10"/>
      <c r="G79" s="70"/>
      <c r="H79" s="70"/>
      <c r="I79" s="70"/>
      <c r="N79" s="32"/>
    </row>
    <row r="80" spans="2:14" x14ac:dyDescent="0.25">
      <c r="B80" s="68" t="s">
        <v>59</v>
      </c>
    </row>
  </sheetData>
  <mergeCells count="13">
    <mergeCell ref="G76:I76"/>
    <mergeCell ref="G77:I77"/>
    <mergeCell ref="G78:I78"/>
    <mergeCell ref="B76:D76"/>
    <mergeCell ref="B77:D77"/>
    <mergeCell ref="B78:D78"/>
    <mergeCell ref="B7:E8"/>
    <mergeCell ref="F7:F8"/>
    <mergeCell ref="B1:I1"/>
    <mergeCell ref="B2:I2"/>
    <mergeCell ref="B3:I3"/>
    <mergeCell ref="B4:I4"/>
    <mergeCell ref="B5:I5"/>
  </mergeCells>
  <printOptions horizontalCentered="1"/>
  <pageMargins left="0.78740157480314965" right="0.78740157480314965" top="0.78740157480314965" bottom="0.59055118110236227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Normal="100" workbookViewId="0">
      <selection activeCell="B1" sqref="B1:K1"/>
    </sheetView>
  </sheetViews>
  <sheetFormatPr baseColWidth="10" defaultRowHeight="12.75" x14ac:dyDescent="0.2"/>
  <cols>
    <col min="1" max="1" width="1.7109375" style="47" customWidth="1"/>
    <col min="2" max="3" width="11.7109375" style="47" customWidth="1"/>
    <col min="4" max="4" width="6.7109375" style="47" customWidth="1"/>
    <col min="5" max="5" width="8.7109375" style="47" customWidth="1"/>
    <col min="6" max="6" width="3" style="47" customWidth="1"/>
    <col min="7" max="7" width="11.7109375" style="47" customWidth="1"/>
    <col min="8" max="8" width="2.7109375" style="47" customWidth="1"/>
    <col min="9" max="9" width="14.85546875" style="47" customWidth="1"/>
    <col min="10" max="10" width="2.7109375" style="47" customWidth="1"/>
    <col min="11" max="11" width="12.28515625" style="154" customWidth="1"/>
    <col min="12" max="13" width="11.42578125" style="47"/>
    <col min="14" max="14" width="11.7109375" style="120" bestFit="1" customWidth="1"/>
    <col min="15" max="15" width="12" style="120" bestFit="1" customWidth="1"/>
    <col min="16" max="16" width="12.5703125" style="120" bestFit="1" customWidth="1"/>
    <col min="17" max="16384" width="11.42578125" style="47"/>
  </cols>
  <sheetData>
    <row r="1" spans="1:16" x14ac:dyDescent="0.2">
      <c r="A1" s="10"/>
      <c r="B1" s="231" t="s">
        <v>146</v>
      </c>
      <c r="C1" s="231"/>
      <c r="D1" s="231"/>
      <c r="E1" s="231"/>
      <c r="F1" s="231"/>
      <c r="G1" s="231"/>
      <c r="H1" s="231"/>
      <c r="I1" s="231"/>
      <c r="J1" s="231"/>
      <c r="K1" s="231"/>
    </row>
    <row r="2" spans="1:16" x14ac:dyDescent="0.2">
      <c r="A2" s="10"/>
      <c r="B2" s="231" t="s">
        <v>112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6" x14ac:dyDescent="0.2">
      <c r="A3" s="10"/>
      <c r="B3" s="231" t="s">
        <v>192</v>
      </c>
      <c r="C3" s="231"/>
      <c r="D3" s="231"/>
      <c r="E3" s="231"/>
      <c r="F3" s="231"/>
      <c r="G3" s="231"/>
      <c r="H3" s="231"/>
      <c r="I3" s="231"/>
      <c r="J3" s="231"/>
      <c r="K3" s="231"/>
    </row>
    <row r="4" spans="1:16" x14ac:dyDescent="0.2">
      <c r="A4" s="7"/>
      <c r="B4" s="236" t="s">
        <v>44</v>
      </c>
      <c r="C4" s="236"/>
      <c r="D4" s="236"/>
      <c r="E4" s="236"/>
      <c r="F4" s="236"/>
      <c r="G4" s="236"/>
      <c r="H4" s="236"/>
      <c r="I4" s="236"/>
      <c r="J4" s="236"/>
      <c r="K4" s="236"/>
    </row>
    <row r="5" spans="1:16" x14ac:dyDescent="0.2">
      <c r="A5" s="49"/>
      <c r="B5" s="141"/>
      <c r="C5" s="141"/>
      <c r="D5" s="141"/>
      <c r="E5" s="141"/>
      <c r="F5" s="141"/>
      <c r="G5" s="141"/>
      <c r="H5" s="141"/>
      <c r="I5" s="141"/>
      <c r="J5" s="141"/>
      <c r="K5" s="144"/>
    </row>
    <row r="6" spans="1:16" s="51" customFormat="1" x14ac:dyDescent="0.2">
      <c r="B6" s="14" t="s">
        <v>158</v>
      </c>
      <c r="C6" s="14"/>
      <c r="D6" s="14"/>
      <c r="E6" s="14"/>
      <c r="F6" s="145"/>
      <c r="G6" s="14"/>
      <c r="K6" s="146">
        <f>2395087502.37/1000</f>
        <v>2395087.5023699999</v>
      </c>
      <c r="L6" s="147"/>
      <c r="N6" s="148"/>
      <c r="O6" s="148"/>
      <c r="P6" s="148"/>
    </row>
    <row r="7" spans="1:16" x14ac:dyDescent="0.2">
      <c r="B7" s="10" t="s">
        <v>198</v>
      </c>
      <c r="C7" s="10"/>
      <c r="D7" s="10"/>
      <c r="E7" s="10"/>
      <c r="F7" s="9"/>
      <c r="G7" s="10"/>
      <c r="K7" s="21">
        <f>+K27</f>
        <v>0</v>
      </c>
    </row>
    <row r="8" spans="1:16" s="51" customFormat="1" ht="13.5" thickBot="1" x14ac:dyDescent="0.25">
      <c r="B8" s="14" t="s">
        <v>197</v>
      </c>
      <c r="C8" s="14"/>
      <c r="D8" s="14"/>
      <c r="E8" s="14"/>
      <c r="F8" s="145"/>
      <c r="G8" s="14"/>
      <c r="K8" s="149">
        <f>SUM(K6:K7)</f>
        <v>2395087.5023699999</v>
      </c>
      <c r="L8" s="184"/>
      <c r="N8" s="148"/>
      <c r="O8" s="148"/>
      <c r="P8" s="148"/>
    </row>
    <row r="9" spans="1:16" ht="13.5" thickTop="1" x14ac:dyDescent="0.2">
      <c r="A9" s="7"/>
      <c r="B9" s="7"/>
      <c r="C9" s="7"/>
      <c r="D9" s="7"/>
      <c r="E9" s="7"/>
      <c r="F9" s="8"/>
      <c r="G9" s="7"/>
      <c r="H9" s="50"/>
      <c r="I9" s="48"/>
      <c r="J9" s="48"/>
      <c r="K9" s="150"/>
    </row>
    <row r="10" spans="1:16" x14ac:dyDescent="0.2">
      <c r="A10" s="6"/>
      <c r="B10" s="237" t="s">
        <v>113</v>
      </c>
      <c r="C10" s="237"/>
      <c r="D10" s="237"/>
      <c r="E10" s="237"/>
      <c r="F10" s="230"/>
      <c r="G10" s="137"/>
      <c r="H10" s="137"/>
      <c r="I10" s="137"/>
      <c r="J10" s="137"/>
      <c r="K10" s="151"/>
    </row>
    <row r="11" spans="1:16" x14ac:dyDescent="0.2">
      <c r="A11" s="6"/>
      <c r="B11" s="237"/>
      <c r="C11" s="237"/>
      <c r="D11" s="237"/>
      <c r="E11" s="237"/>
      <c r="F11" s="230"/>
      <c r="G11" s="137"/>
      <c r="H11" s="137"/>
      <c r="I11" s="137"/>
      <c r="J11" s="137"/>
      <c r="K11" s="151"/>
    </row>
    <row r="12" spans="1:16" x14ac:dyDescent="0.2">
      <c r="A12" s="10"/>
      <c r="B12" s="140"/>
      <c r="C12" s="140"/>
      <c r="D12" s="140"/>
      <c r="E12" s="140"/>
      <c r="G12" s="138"/>
      <c r="H12" s="138"/>
      <c r="I12" s="138"/>
      <c r="J12" s="138"/>
      <c r="K12" s="152"/>
      <c r="O12" s="47"/>
    </row>
    <row r="13" spans="1:16" s="51" customFormat="1" x14ac:dyDescent="0.2">
      <c r="B13" s="51" t="s">
        <v>114</v>
      </c>
      <c r="F13" s="138"/>
      <c r="K13" s="153">
        <f>+K14</f>
        <v>0</v>
      </c>
      <c r="N13" s="148"/>
      <c r="O13" s="47"/>
      <c r="P13" s="148"/>
    </row>
    <row r="14" spans="1:16" x14ac:dyDescent="0.2">
      <c r="B14" s="47" t="s">
        <v>36</v>
      </c>
      <c r="G14" s="54"/>
    </row>
    <row r="15" spans="1:16" x14ac:dyDescent="0.2">
      <c r="F15" s="138"/>
      <c r="G15" s="24"/>
    </row>
    <row r="17" spans="2:15" x14ac:dyDescent="0.2">
      <c r="B17" s="51" t="s">
        <v>115</v>
      </c>
      <c r="K17" s="155">
        <f>+K18+K19+K20</f>
        <v>0</v>
      </c>
    </row>
    <row r="18" spans="2:15" x14ac:dyDescent="0.2">
      <c r="B18" s="47" t="s">
        <v>97</v>
      </c>
      <c r="G18" s="54"/>
      <c r="I18" s="55"/>
      <c r="O18" s="47"/>
    </row>
    <row r="19" spans="2:15" x14ac:dyDescent="0.2">
      <c r="B19" s="47" t="s">
        <v>154</v>
      </c>
      <c r="G19" s="54"/>
      <c r="N19" s="154"/>
      <c r="O19" s="47"/>
    </row>
    <row r="20" spans="2:15" x14ac:dyDescent="0.2">
      <c r="B20" s="47" t="s">
        <v>111</v>
      </c>
      <c r="G20" s="54"/>
      <c r="O20" s="47"/>
    </row>
    <row r="21" spans="2:15" x14ac:dyDescent="0.2">
      <c r="G21" s="54"/>
    </row>
    <row r="23" spans="2:15" x14ac:dyDescent="0.2">
      <c r="B23" s="51" t="s">
        <v>116</v>
      </c>
      <c r="F23" s="53"/>
      <c r="K23" s="155">
        <f>+G24-I24</f>
        <v>0</v>
      </c>
    </row>
    <row r="24" spans="2:15" x14ac:dyDescent="0.2">
      <c r="B24" s="47" t="s">
        <v>159</v>
      </c>
      <c r="K24" s="154">
        <v>0</v>
      </c>
    </row>
    <row r="26" spans="2:15" x14ac:dyDescent="0.2">
      <c r="K26" s="162"/>
    </row>
    <row r="27" spans="2:15" x14ac:dyDescent="0.2">
      <c r="B27" s="51" t="s">
        <v>117</v>
      </c>
      <c r="K27" s="161">
        <f>+K13+K17+K23</f>
        <v>0</v>
      </c>
    </row>
    <row r="30" spans="2:15" ht="9" customHeight="1" x14ac:dyDescent="0.2"/>
    <row r="32" spans="2:15" x14ac:dyDescent="0.2">
      <c r="B32" s="48"/>
      <c r="C32" s="48"/>
      <c r="D32" s="48"/>
      <c r="G32" s="48"/>
      <c r="H32" s="48"/>
      <c r="I32" s="48"/>
    </row>
    <row r="33" spans="2:11" x14ac:dyDescent="0.2">
      <c r="B33" s="51" t="s">
        <v>21</v>
      </c>
      <c r="G33" s="51" t="s">
        <v>22</v>
      </c>
    </row>
    <row r="34" spans="2:11" x14ac:dyDescent="0.2">
      <c r="B34" s="47" t="s">
        <v>49</v>
      </c>
      <c r="G34" s="235" t="s">
        <v>85</v>
      </c>
      <c r="H34" s="235"/>
      <c r="I34" s="235"/>
    </row>
    <row r="35" spans="2:11" x14ac:dyDescent="0.2">
      <c r="B35" s="47" t="s">
        <v>60</v>
      </c>
      <c r="G35" s="235" t="s">
        <v>86</v>
      </c>
      <c r="H35" s="235"/>
      <c r="I35" s="235"/>
    </row>
    <row r="38" spans="2:11" ht="13.5" x14ac:dyDescent="0.25">
      <c r="B38" s="124" t="s">
        <v>59</v>
      </c>
    </row>
    <row r="39" spans="2:11" x14ac:dyDescent="0.2">
      <c r="B39" s="67"/>
      <c r="C39" s="67"/>
      <c r="D39" s="67"/>
      <c r="E39" s="67"/>
      <c r="F39" s="67"/>
      <c r="G39" s="67"/>
      <c r="H39" s="67"/>
      <c r="I39" s="67"/>
      <c r="J39" s="67"/>
      <c r="K39" s="156"/>
    </row>
  </sheetData>
  <mergeCells count="8">
    <mergeCell ref="G34:I34"/>
    <mergeCell ref="G35:I35"/>
    <mergeCell ref="B1:K1"/>
    <mergeCell ref="B2:K2"/>
    <mergeCell ref="B3:K3"/>
    <mergeCell ref="B4:K4"/>
    <mergeCell ref="B10:E11"/>
    <mergeCell ref="F10:F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Normal="100" workbookViewId="0">
      <selection activeCell="I8" sqref="I8"/>
    </sheetView>
  </sheetViews>
  <sheetFormatPr baseColWidth="10" defaultRowHeight="16.5" x14ac:dyDescent="0.3"/>
  <cols>
    <col min="1" max="1" width="1.7109375" style="47" customWidth="1"/>
    <col min="2" max="3" width="11.7109375" style="47" customWidth="1"/>
    <col min="4" max="4" width="6.7109375" style="47" customWidth="1"/>
    <col min="5" max="5" width="8.7109375" style="47" customWidth="1"/>
    <col min="6" max="6" width="4.5703125" style="47" bestFit="1" customWidth="1"/>
    <col min="7" max="7" width="11.7109375" style="47" customWidth="1"/>
    <col min="8" max="8" width="2.7109375" style="47" customWidth="1"/>
    <col min="9" max="9" width="14.42578125" style="47" customWidth="1"/>
    <col min="10" max="10" width="2.7109375" style="47" customWidth="1"/>
    <col min="11" max="11" width="13.28515625" style="160" customWidth="1"/>
    <col min="12" max="12" width="13.140625" style="47" customWidth="1"/>
    <col min="13" max="16384" width="11.42578125" style="47"/>
  </cols>
  <sheetData>
    <row r="1" spans="1:12" ht="13.5" customHeight="1" x14ac:dyDescent="0.2">
      <c r="A1" s="10"/>
      <c r="B1" s="231" t="s">
        <v>54</v>
      </c>
      <c r="C1" s="231"/>
      <c r="D1" s="231"/>
      <c r="E1" s="231"/>
      <c r="F1" s="231"/>
      <c r="G1" s="231"/>
      <c r="H1" s="231"/>
      <c r="I1" s="231"/>
      <c r="J1" s="231"/>
      <c r="K1" s="231"/>
    </row>
    <row r="2" spans="1:12" ht="13.5" customHeight="1" x14ac:dyDescent="0.2">
      <c r="A2" s="10"/>
      <c r="B2" s="231" t="s">
        <v>145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2" ht="13.5" customHeight="1" x14ac:dyDescent="0.2">
      <c r="A3" s="10"/>
      <c r="B3" s="231" t="s">
        <v>192</v>
      </c>
      <c r="C3" s="231"/>
      <c r="D3" s="231"/>
      <c r="E3" s="231"/>
      <c r="F3" s="231"/>
      <c r="G3" s="231"/>
      <c r="H3" s="231"/>
      <c r="I3" s="231"/>
      <c r="J3" s="231"/>
      <c r="K3" s="231"/>
    </row>
    <row r="4" spans="1:12" ht="13.5" customHeight="1" x14ac:dyDescent="0.2">
      <c r="A4" s="10"/>
      <c r="B4" s="231" t="s">
        <v>118</v>
      </c>
      <c r="C4" s="231"/>
      <c r="D4" s="231"/>
      <c r="E4" s="231"/>
      <c r="F4" s="231"/>
      <c r="G4" s="231"/>
      <c r="H4" s="231"/>
      <c r="I4" s="231"/>
      <c r="J4" s="231"/>
      <c r="K4" s="231"/>
    </row>
    <row r="5" spans="1:12" ht="15" customHeight="1" x14ac:dyDescent="0.2">
      <c r="A5" s="10"/>
      <c r="B5" s="231" t="s">
        <v>44</v>
      </c>
      <c r="C5" s="231"/>
      <c r="D5" s="231"/>
      <c r="E5" s="231"/>
      <c r="F5" s="231"/>
      <c r="G5" s="231"/>
      <c r="H5" s="231"/>
      <c r="I5" s="231"/>
      <c r="J5" s="231"/>
      <c r="K5" s="236"/>
    </row>
    <row r="6" spans="1:12" ht="13.5" customHeight="1" x14ac:dyDescent="0.2">
      <c r="A6" s="10"/>
      <c r="B6" s="195"/>
      <c r="C6" s="195"/>
      <c r="D6" s="195"/>
      <c r="E6" s="195"/>
      <c r="F6" s="195"/>
      <c r="G6" s="195"/>
      <c r="H6" s="195"/>
      <c r="I6" s="195"/>
      <c r="J6" s="195"/>
      <c r="K6" s="196">
        <v>2015</v>
      </c>
      <c r="L6" s="196">
        <v>2014</v>
      </c>
    </row>
    <row r="7" spans="1:12" ht="13.5" customHeight="1" x14ac:dyDescent="0.2">
      <c r="B7" s="71" t="s">
        <v>119</v>
      </c>
      <c r="C7" s="56"/>
      <c r="D7" s="56"/>
      <c r="E7" s="56"/>
      <c r="F7" s="57"/>
      <c r="G7" s="56"/>
      <c r="H7" s="58"/>
      <c r="I7" s="58"/>
      <c r="K7" s="200"/>
      <c r="L7" s="200"/>
    </row>
    <row r="8" spans="1:12" ht="7.5" customHeight="1" x14ac:dyDescent="0.2">
      <c r="B8" s="58"/>
      <c r="C8" s="56"/>
      <c r="D8" s="56"/>
      <c r="E8" s="56"/>
      <c r="F8" s="57"/>
      <c r="G8" s="56"/>
      <c r="H8" s="58"/>
      <c r="I8" s="58"/>
      <c r="K8" s="201"/>
      <c r="L8" s="201"/>
    </row>
    <row r="9" spans="1:12" ht="13.5" customHeight="1" x14ac:dyDescent="0.2">
      <c r="B9" s="71" t="s">
        <v>160</v>
      </c>
      <c r="C9" s="56"/>
      <c r="D9" s="56"/>
      <c r="E9" s="56"/>
      <c r="F9" s="57"/>
      <c r="G9" s="56"/>
      <c r="H9" s="58"/>
      <c r="I9" s="58"/>
      <c r="K9" s="202">
        <v>5508251</v>
      </c>
      <c r="L9" s="202">
        <f>-6867279-10045954</f>
        <v>-16913233</v>
      </c>
    </row>
    <row r="10" spans="1:12" ht="8.25" customHeight="1" x14ac:dyDescent="0.2">
      <c r="B10" s="58"/>
      <c r="C10" s="56"/>
      <c r="D10" s="56"/>
      <c r="E10" s="56"/>
      <c r="F10" s="57"/>
      <c r="G10" s="56"/>
      <c r="H10" s="58"/>
      <c r="I10" s="58"/>
      <c r="K10" s="202"/>
      <c r="L10" s="202"/>
    </row>
    <row r="11" spans="1:12" ht="17.25" customHeight="1" x14ac:dyDescent="0.2">
      <c r="B11" s="71" t="s">
        <v>120</v>
      </c>
      <c r="C11" s="56"/>
      <c r="D11" s="56"/>
      <c r="E11" s="56"/>
      <c r="F11" s="57"/>
      <c r="G11" s="56"/>
      <c r="H11" s="58"/>
      <c r="I11" s="58"/>
      <c r="K11" s="202"/>
      <c r="L11" s="202"/>
    </row>
    <row r="12" spans="1:12" ht="17.25" customHeight="1" x14ac:dyDescent="0.2">
      <c r="B12" s="58" t="s">
        <v>121</v>
      </c>
      <c r="C12" s="56"/>
      <c r="D12" s="56"/>
      <c r="E12" s="56"/>
      <c r="F12" s="57"/>
      <c r="G12" s="56"/>
      <c r="H12" s="58"/>
      <c r="I12" s="58"/>
      <c r="K12" s="202">
        <v>0</v>
      </c>
      <c r="L12" s="202">
        <v>0</v>
      </c>
    </row>
    <row r="13" spans="1:12" ht="17.25" customHeight="1" x14ac:dyDescent="0.2">
      <c r="B13" s="58" t="s">
        <v>122</v>
      </c>
      <c r="C13" s="56"/>
      <c r="D13" s="56"/>
      <c r="E13" s="56"/>
      <c r="F13" s="57"/>
      <c r="G13" s="56"/>
      <c r="H13" s="58"/>
      <c r="I13" s="58"/>
      <c r="K13" s="202">
        <v>0</v>
      </c>
      <c r="L13" s="202">
        <v>0</v>
      </c>
    </row>
    <row r="14" spans="1:12" ht="17.25" customHeight="1" x14ac:dyDescent="0.2">
      <c r="B14" s="58" t="s">
        <v>123</v>
      </c>
      <c r="C14" s="56"/>
      <c r="D14" s="56"/>
      <c r="E14" s="56"/>
      <c r="F14" s="57"/>
      <c r="G14" s="56"/>
      <c r="H14" s="58"/>
      <c r="I14" s="58"/>
      <c r="K14" s="202">
        <f>257065-51509</f>
        <v>205556</v>
      </c>
      <c r="L14" s="202">
        <f>51509-11949</f>
        <v>39560</v>
      </c>
    </row>
    <row r="15" spans="1:12" ht="17.25" customHeight="1" x14ac:dyDescent="0.2">
      <c r="B15" s="58" t="s">
        <v>91</v>
      </c>
      <c r="C15" s="56"/>
      <c r="D15" s="56"/>
      <c r="E15" s="56"/>
      <c r="F15" s="57"/>
      <c r="G15" s="56"/>
      <c r="H15" s="58"/>
      <c r="I15" s="58"/>
      <c r="K15" s="202">
        <f>1783600-899774</f>
        <v>883826</v>
      </c>
      <c r="L15" s="202">
        <v>45697</v>
      </c>
    </row>
    <row r="16" spans="1:12" ht="17.25" customHeight="1" x14ac:dyDescent="0.2">
      <c r="B16" s="58" t="s">
        <v>124</v>
      </c>
      <c r="C16" s="56"/>
      <c r="D16" s="56"/>
      <c r="E16" s="56"/>
      <c r="F16" s="57"/>
      <c r="G16" s="56"/>
      <c r="H16" s="58"/>
      <c r="I16" s="58"/>
      <c r="K16" s="203">
        <v>0</v>
      </c>
      <c r="L16" s="203">
        <v>0</v>
      </c>
    </row>
    <row r="17" spans="2:12" s="51" customFormat="1" ht="19.5" customHeight="1" x14ac:dyDescent="0.2">
      <c r="B17" s="71" t="s">
        <v>125</v>
      </c>
      <c r="C17" s="158"/>
      <c r="D17" s="158"/>
      <c r="E17" s="158"/>
      <c r="F17" s="159"/>
      <c r="G17" s="158"/>
      <c r="H17" s="71"/>
      <c r="I17" s="71"/>
      <c r="K17" s="198">
        <f>SUM(K9:K16)</f>
        <v>6597633</v>
      </c>
      <c r="L17" s="198">
        <f>SUM(L9:L16)</f>
        <v>-16827976</v>
      </c>
    </row>
    <row r="18" spans="2:12" ht="8.25" customHeight="1" x14ac:dyDescent="0.2">
      <c r="B18" s="58"/>
      <c r="C18" s="56"/>
      <c r="D18" s="56"/>
      <c r="E18" s="56"/>
      <c r="F18" s="57"/>
      <c r="G18" s="56"/>
      <c r="H18" s="58"/>
      <c r="I18" s="58"/>
      <c r="K18" s="202"/>
      <c r="L18" s="202"/>
    </row>
    <row r="19" spans="2:12" ht="15" customHeight="1" x14ac:dyDescent="0.2">
      <c r="B19" s="71" t="s">
        <v>126</v>
      </c>
      <c r="C19" s="56"/>
      <c r="D19" s="56"/>
      <c r="E19" s="56"/>
      <c r="F19" s="57"/>
      <c r="G19" s="56"/>
      <c r="H19" s="58"/>
      <c r="I19" s="58"/>
      <c r="K19" s="202"/>
      <c r="L19" s="202"/>
    </row>
    <row r="20" spans="2:12" ht="15" customHeight="1" x14ac:dyDescent="0.2">
      <c r="B20" s="58" t="s">
        <v>161</v>
      </c>
      <c r="C20" s="56"/>
      <c r="D20" s="56"/>
      <c r="E20" s="56"/>
      <c r="F20" s="57"/>
      <c r="G20" s="56"/>
      <c r="H20" s="58"/>
      <c r="I20" s="58"/>
      <c r="K20" s="202">
        <v>-688550</v>
      </c>
      <c r="L20" s="202">
        <f>-433841+0</f>
        <v>-433841</v>
      </c>
    </row>
    <row r="21" spans="2:12" ht="15" customHeight="1" x14ac:dyDescent="0.2">
      <c r="B21" s="58" t="s">
        <v>162</v>
      </c>
      <c r="C21" s="56"/>
      <c r="D21" s="56"/>
      <c r="E21" s="56"/>
      <c r="F21" s="57"/>
      <c r="G21" s="56"/>
      <c r="H21" s="58"/>
      <c r="I21" s="58"/>
      <c r="K21" s="202">
        <f>-1639-682</f>
        <v>-2321</v>
      </c>
      <c r="L21" s="204">
        <f>7220053-0</f>
        <v>7220053</v>
      </c>
    </row>
    <row r="22" spans="2:12" ht="15" customHeight="1" x14ac:dyDescent="0.2">
      <c r="B22" s="58" t="s">
        <v>163</v>
      </c>
      <c r="C22" s="56"/>
      <c r="D22" s="56"/>
      <c r="E22" s="56"/>
      <c r="F22" s="57"/>
      <c r="G22" s="56"/>
      <c r="H22" s="58"/>
      <c r="I22" s="58"/>
      <c r="K22" s="202">
        <f>382051-163141</f>
        <v>218910</v>
      </c>
      <c r="L22" s="202">
        <f>163141-152341</f>
        <v>10800</v>
      </c>
    </row>
    <row r="23" spans="2:12" ht="15" customHeight="1" x14ac:dyDescent="0.2">
      <c r="B23" s="58" t="s">
        <v>164</v>
      </c>
      <c r="C23" s="56"/>
      <c r="D23" s="56"/>
      <c r="E23" s="56"/>
      <c r="F23" s="57"/>
      <c r="G23" s="56"/>
      <c r="H23" s="58"/>
      <c r="I23" s="58"/>
      <c r="K23" s="203">
        <f>6585-173</f>
        <v>6412</v>
      </c>
      <c r="L23" s="203">
        <v>173</v>
      </c>
    </row>
    <row r="24" spans="2:12" s="51" customFormat="1" ht="15" customHeight="1" x14ac:dyDescent="0.2">
      <c r="B24" s="71" t="s">
        <v>127</v>
      </c>
      <c r="C24" s="158"/>
      <c r="D24" s="158"/>
      <c r="E24" s="158"/>
      <c r="F24" s="159"/>
      <c r="G24" s="158"/>
      <c r="H24" s="71"/>
      <c r="I24" s="71"/>
      <c r="K24" s="199">
        <f>SUM(K20:K23)</f>
        <v>-465549</v>
      </c>
      <c r="L24" s="199">
        <f>SUM(L20:L23)</f>
        <v>6797185</v>
      </c>
    </row>
    <row r="25" spans="2:12" ht="10.5" customHeight="1" x14ac:dyDescent="0.2">
      <c r="B25" s="58"/>
      <c r="C25" s="56"/>
      <c r="D25" s="56"/>
      <c r="E25" s="56"/>
      <c r="F25" s="57"/>
      <c r="G25" s="56"/>
      <c r="H25" s="58"/>
      <c r="I25" s="58"/>
      <c r="K25" s="202"/>
      <c r="L25" s="202"/>
    </row>
    <row r="26" spans="2:12" ht="15.75" customHeight="1" x14ac:dyDescent="0.2">
      <c r="B26" s="71" t="s">
        <v>128</v>
      </c>
      <c r="C26" s="56"/>
      <c r="D26" s="56"/>
      <c r="E26" s="56"/>
      <c r="F26" s="57"/>
      <c r="G26" s="56"/>
      <c r="H26" s="58"/>
      <c r="I26" s="58"/>
      <c r="K26" s="202"/>
      <c r="L26" s="202"/>
    </row>
    <row r="27" spans="2:12" ht="6" customHeight="1" x14ac:dyDescent="0.2">
      <c r="B27" s="58"/>
      <c r="C27" s="56"/>
      <c r="D27" s="56"/>
      <c r="E27" s="56"/>
      <c r="F27" s="57"/>
      <c r="G27" s="56"/>
      <c r="H27" s="58"/>
      <c r="I27" s="58"/>
      <c r="K27" s="202"/>
      <c r="L27" s="202"/>
    </row>
    <row r="28" spans="2:12" ht="15.75" customHeight="1" x14ac:dyDescent="0.2">
      <c r="B28" s="71" t="s">
        <v>129</v>
      </c>
      <c r="C28" s="56"/>
      <c r="D28" s="56"/>
      <c r="E28" s="56"/>
      <c r="F28" s="57"/>
      <c r="G28" s="56"/>
      <c r="H28" s="58"/>
      <c r="I28" s="58"/>
      <c r="K28" s="202"/>
      <c r="L28" s="202"/>
    </row>
    <row r="29" spans="2:12" ht="15.75" customHeight="1" x14ac:dyDescent="0.2">
      <c r="B29" s="58" t="s">
        <v>205</v>
      </c>
      <c r="C29" s="56"/>
      <c r="D29" s="56"/>
      <c r="E29" s="56"/>
      <c r="F29" s="57"/>
      <c r="G29" s="56"/>
      <c r="H29" s="58"/>
      <c r="I29" s="58"/>
      <c r="K29" s="202">
        <v>-11298</v>
      </c>
      <c r="L29" s="202">
        <v>0</v>
      </c>
    </row>
    <row r="30" spans="2:12" ht="15.75" customHeight="1" x14ac:dyDescent="0.2">
      <c r="B30" s="58" t="s">
        <v>206</v>
      </c>
      <c r="C30" s="56"/>
      <c r="D30" s="56"/>
      <c r="E30" s="56"/>
      <c r="F30" s="57"/>
      <c r="G30" s="56"/>
      <c r="H30" s="58"/>
      <c r="I30" s="58"/>
      <c r="K30" s="202">
        <v>-10246</v>
      </c>
      <c r="L30" s="202">
        <v>0</v>
      </c>
    </row>
    <row r="31" spans="2:12" ht="15.75" customHeight="1" x14ac:dyDescent="0.2">
      <c r="B31" s="58" t="s">
        <v>207</v>
      </c>
      <c r="C31" s="56"/>
      <c r="D31" s="56"/>
      <c r="E31" s="56"/>
      <c r="F31" s="57"/>
      <c r="G31" s="56"/>
      <c r="H31" s="58"/>
      <c r="I31" s="58"/>
      <c r="K31" s="202">
        <v>-4941</v>
      </c>
      <c r="L31" s="202">
        <v>0</v>
      </c>
    </row>
    <row r="32" spans="2:12" ht="15.75" customHeight="1" x14ac:dyDescent="0.2">
      <c r="B32" s="58" t="s">
        <v>165</v>
      </c>
      <c r="C32" s="56"/>
      <c r="D32" s="56"/>
      <c r="E32" s="56"/>
      <c r="F32" s="57"/>
      <c r="G32" s="56"/>
      <c r="H32" s="58"/>
      <c r="I32" s="58"/>
      <c r="K32" s="204">
        <f>-839727+47789</f>
        <v>-791938</v>
      </c>
      <c r="L32" s="204">
        <f>-47789+44896</f>
        <v>-2893</v>
      </c>
    </row>
    <row r="33" spans="2:12" ht="15.75" customHeight="1" x14ac:dyDescent="0.2">
      <c r="B33" s="58" t="s">
        <v>166</v>
      </c>
      <c r="C33" s="56"/>
      <c r="D33" s="56"/>
      <c r="E33" s="56"/>
      <c r="F33" s="57"/>
      <c r="G33" s="56"/>
      <c r="H33" s="58"/>
      <c r="I33" s="58"/>
      <c r="K33" s="204">
        <v>-303842</v>
      </c>
      <c r="L33" s="204">
        <v>-617382</v>
      </c>
    </row>
    <row r="34" spans="2:12" ht="15.75" customHeight="1" x14ac:dyDescent="0.2">
      <c r="B34" s="58" t="s">
        <v>208</v>
      </c>
      <c r="C34" s="56"/>
      <c r="D34" s="56"/>
      <c r="E34" s="56"/>
      <c r="F34" s="57"/>
      <c r="G34" s="56"/>
      <c r="H34" s="58"/>
      <c r="I34" s="58"/>
      <c r="K34" s="204">
        <v>-1194</v>
      </c>
      <c r="L34" s="202">
        <v>0</v>
      </c>
    </row>
    <row r="35" spans="2:12" ht="15.75" customHeight="1" x14ac:dyDescent="0.2">
      <c r="B35" s="58" t="s">
        <v>167</v>
      </c>
      <c r="C35" s="56"/>
      <c r="D35" s="56"/>
      <c r="E35" s="56"/>
      <c r="F35" s="57"/>
      <c r="G35" s="56"/>
      <c r="H35" s="58"/>
      <c r="I35" s="58"/>
      <c r="K35" s="205">
        <f>-2698439+2518503</f>
        <v>-179936</v>
      </c>
      <c r="L35" s="205">
        <f>-2518503+2422367</f>
        <v>-96136</v>
      </c>
    </row>
    <row r="36" spans="2:12" s="51" customFormat="1" ht="21" customHeight="1" x14ac:dyDescent="0.2">
      <c r="B36" s="71" t="s">
        <v>130</v>
      </c>
      <c r="C36" s="158"/>
      <c r="D36" s="158"/>
      <c r="E36" s="158"/>
      <c r="F36" s="159"/>
      <c r="G36" s="158"/>
      <c r="H36" s="71"/>
      <c r="I36" s="71"/>
      <c r="K36" s="199">
        <f>SUM(K29:K35)</f>
        <v>-1303395</v>
      </c>
      <c r="L36" s="199">
        <f>SUM(L32:L35)</f>
        <v>-716411</v>
      </c>
    </row>
    <row r="37" spans="2:12" ht="9" customHeight="1" x14ac:dyDescent="0.2">
      <c r="B37" s="58"/>
      <c r="C37" s="56"/>
      <c r="D37" s="56"/>
      <c r="E37" s="56"/>
      <c r="F37" s="57"/>
      <c r="G37" s="56"/>
      <c r="H37" s="58"/>
      <c r="I37" s="58"/>
      <c r="K37" s="202"/>
      <c r="L37" s="202"/>
    </row>
    <row r="38" spans="2:12" ht="16.5" customHeight="1" x14ac:dyDescent="0.2">
      <c r="B38" s="71" t="s">
        <v>131</v>
      </c>
      <c r="C38" s="56"/>
      <c r="D38" s="56"/>
      <c r="E38" s="56"/>
      <c r="F38" s="57"/>
      <c r="G38" s="56"/>
      <c r="H38" s="58"/>
      <c r="I38" s="58"/>
      <c r="K38" s="202"/>
      <c r="L38" s="202"/>
    </row>
    <row r="39" spans="2:12" ht="16.5" customHeight="1" x14ac:dyDescent="0.2">
      <c r="B39" s="58" t="s">
        <v>168</v>
      </c>
      <c r="C39" s="56"/>
      <c r="D39" s="56"/>
      <c r="E39" s="56"/>
      <c r="F39" s="57"/>
      <c r="G39" s="56"/>
      <c r="H39" s="58"/>
      <c r="I39" s="58"/>
      <c r="K39" s="202">
        <f>2692376-428425</f>
        <v>2263951</v>
      </c>
      <c r="L39" s="202">
        <f>-1064291+428425</f>
        <v>-635866</v>
      </c>
    </row>
    <row r="40" spans="2:12" ht="16.5" customHeight="1" x14ac:dyDescent="0.2">
      <c r="B40" s="58" t="s">
        <v>169</v>
      </c>
      <c r="C40" s="56"/>
      <c r="D40" s="56"/>
      <c r="E40" s="56"/>
      <c r="F40" s="57"/>
      <c r="G40" s="56"/>
      <c r="H40" s="58"/>
      <c r="I40" s="58"/>
      <c r="K40" s="202">
        <f>-993682+59236</f>
        <v>-934446</v>
      </c>
      <c r="L40" s="202">
        <f>993682-172672</f>
        <v>821010</v>
      </c>
    </row>
    <row r="41" spans="2:12" ht="16.5" customHeight="1" x14ac:dyDescent="0.2">
      <c r="B41" s="58" t="s">
        <v>170</v>
      </c>
      <c r="C41" s="56"/>
      <c r="D41" s="56"/>
      <c r="E41" s="56"/>
      <c r="F41" s="57"/>
      <c r="G41" s="56"/>
      <c r="H41" s="58"/>
      <c r="I41" s="58"/>
      <c r="K41" s="202">
        <f>475307-201654-349</f>
        <v>273304</v>
      </c>
      <c r="L41" s="202">
        <f>-424204+201654-753+349</f>
        <v>-222954</v>
      </c>
    </row>
    <row r="42" spans="2:12" ht="16.5" customHeight="1" x14ac:dyDescent="0.2">
      <c r="B42" s="58" t="s">
        <v>171</v>
      </c>
      <c r="C42" s="56"/>
      <c r="D42" s="56"/>
      <c r="E42" s="56"/>
      <c r="F42" s="57"/>
      <c r="G42" s="56"/>
      <c r="H42" s="58"/>
      <c r="I42" s="58"/>
      <c r="K42" s="204">
        <f>-9503932+2395088-1091933+858945</f>
        <v>-7341832</v>
      </c>
      <c r="L42" s="204">
        <f>9503932+456768</f>
        <v>9960700</v>
      </c>
    </row>
    <row r="43" spans="2:12" ht="16.5" customHeight="1" x14ac:dyDescent="0.2">
      <c r="B43" s="58" t="s">
        <v>172</v>
      </c>
      <c r="C43" s="56"/>
      <c r="D43" s="56"/>
      <c r="E43" s="56"/>
      <c r="F43" s="57"/>
      <c r="G43" s="56"/>
      <c r="H43" s="58"/>
      <c r="I43" s="58"/>
      <c r="K43" s="205">
        <f>-617381+20502</f>
        <v>-596879</v>
      </c>
      <c r="L43" s="205">
        <v>617381</v>
      </c>
    </row>
    <row r="44" spans="2:12" s="51" customFormat="1" ht="16.5" customHeight="1" x14ac:dyDescent="0.2">
      <c r="B44" s="71" t="s">
        <v>132</v>
      </c>
      <c r="C44" s="158"/>
      <c r="D44" s="158"/>
      <c r="E44" s="158"/>
      <c r="F44" s="159"/>
      <c r="G44" s="158"/>
      <c r="H44" s="71"/>
      <c r="I44" s="71"/>
      <c r="K44" s="198">
        <f>SUM(K39:K43)</f>
        <v>-6335902</v>
      </c>
      <c r="L44" s="198">
        <f>SUM(L39:L43)</f>
        <v>10540271</v>
      </c>
    </row>
    <row r="45" spans="2:12" ht="7.5" customHeight="1" x14ac:dyDescent="0.2">
      <c r="B45" s="58"/>
      <c r="C45" s="56"/>
      <c r="D45" s="56"/>
      <c r="E45" s="56"/>
      <c r="F45" s="57"/>
      <c r="G45" s="56"/>
      <c r="H45" s="58"/>
      <c r="I45" s="58"/>
      <c r="K45" s="197"/>
      <c r="L45" s="197"/>
    </row>
    <row r="46" spans="2:12" s="51" customFormat="1" ht="15" customHeight="1" x14ac:dyDescent="0.2">
      <c r="B46" s="71" t="s">
        <v>133</v>
      </c>
      <c r="C46" s="158"/>
      <c r="D46" s="158"/>
      <c r="E46" s="158"/>
      <c r="F46" s="159"/>
      <c r="G46" s="158"/>
      <c r="H46" s="71"/>
      <c r="I46" s="71"/>
      <c r="K46" s="198">
        <f>+K17+K24+K36+K44</f>
        <v>-1507213</v>
      </c>
      <c r="L46" s="198">
        <f>+L17+L24+L36+L44</f>
        <v>-206931</v>
      </c>
    </row>
    <row r="47" spans="2:12" ht="15" customHeight="1" x14ac:dyDescent="0.2">
      <c r="B47" s="58" t="s">
        <v>173</v>
      </c>
      <c r="C47" s="56"/>
      <c r="D47" s="56"/>
      <c r="E47" s="56"/>
      <c r="F47" s="57"/>
      <c r="G47" s="56"/>
      <c r="H47" s="58"/>
      <c r="I47" s="58"/>
      <c r="K47" s="202">
        <f>+L58</f>
        <v>1509200</v>
      </c>
      <c r="L47" s="202">
        <f>30725+1685406</f>
        <v>1716131</v>
      </c>
    </row>
    <row r="48" spans="2:12" ht="15" customHeight="1" x14ac:dyDescent="0.2">
      <c r="B48" s="58" t="s">
        <v>209</v>
      </c>
      <c r="C48" s="56"/>
      <c r="D48" s="56"/>
      <c r="E48" s="56"/>
      <c r="F48" s="57"/>
      <c r="G48" s="56"/>
      <c r="H48" s="58"/>
      <c r="I48" s="58"/>
      <c r="K48" s="203">
        <f>+K58</f>
        <v>1987</v>
      </c>
      <c r="L48" s="203">
        <f>+L58</f>
        <v>1509200</v>
      </c>
    </row>
    <row r="49" spans="2:13" s="51" customFormat="1" ht="20.25" customHeight="1" x14ac:dyDescent="0.2">
      <c r="B49" s="71" t="s">
        <v>134</v>
      </c>
      <c r="C49" s="158"/>
      <c r="D49" s="158"/>
      <c r="E49" s="158"/>
      <c r="F49" s="159"/>
      <c r="G49" s="158"/>
      <c r="H49" s="71"/>
      <c r="I49" s="71"/>
      <c r="K49" s="198">
        <f>+K48-K47</f>
        <v>-1507213</v>
      </c>
      <c r="L49" s="198">
        <f>+L48-L47</f>
        <v>-206931</v>
      </c>
    </row>
    <row r="50" spans="2:13" ht="17.25" customHeight="1" x14ac:dyDescent="0.2">
      <c r="B50" s="58"/>
      <c r="C50" s="56"/>
      <c r="D50" s="56"/>
      <c r="E50" s="56"/>
      <c r="F50" s="57"/>
      <c r="G50" s="56"/>
      <c r="H50" s="58"/>
      <c r="I50" s="58"/>
      <c r="K50" s="202">
        <f>+K46-K49</f>
        <v>0</v>
      </c>
      <c r="L50" s="202">
        <f>+L46-L49</f>
        <v>0</v>
      </c>
    </row>
    <row r="51" spans="2:13" ht="14.25" customHeight="1" x14ac:dyDescent="0.2">
      <c r="B51" s="71" t="s">
        <v>135</v>
      </c>
      <c r="C51" s="56"/>
      <c r="D51" s="56"/>
      <c r="E51" s="56"/>
      <c r="F51" s="57"/>
      <c r="G51" s="56"/>
      <c r="H51" s="58"/>
      <c r="I51" s="58"/>
      <c r="K51" s="202"/>
      <c r="L51" s="202"/>
    </row>
    <row r="52" spans="2:13" ht="3.75" customHeight="1" x14ac:dyDescent="0.2">
      <c r="B52" s="58"/>
      <c r="C52" s="56"/>
      <c r="D52" s="56"/>
      <c r="E52" s="56"/>
      <c r="F52" s="57"/>
      <c r="G52" s="56"/>
      <c r="H52" s="58"/>
      <c r="I52" s="58"/>
      <c r="K52" s="202"/>
      <c r="L52" s="202"/>
    </row>
    <row r="53" spans="2:13" ht="18.75" customHeight="1" x14ac:dyDescent="0.2">
      <c r="B53" s="71" t="s">
        <v>210</v>
      </c>
      <c r="C53" s="56"/>
      <c r="D53" s="56"/>
      <c r="E53" s="56"/>
      <c r="F53" s="57"/>
      <c r="G53" s="56"/>
      <c r="H53" s="58"/>
      <c r="I53" s="58"/>
      <c r="K53" s="202"/>
      <c r="L53" s="202"/>
    </row>
    <row r="54" spans="2:13" ht="17.25" customHeight="1" x14ac:dyDescent="0.2">
      <c r="B54" s="58" t="s">
        <v>136</v>
      </c>
      <c r="C54" s="56"/>
      <c r="D54" s="56"/>
      <c r="E54" s="56"/>
      <c r="F54" s="57"/>
      <c r="G54" s="56"/>
      <c r="H54" s="58"/>
      <c r="I54" s="58"/>
      <c r="K54" s="202">
        <v>0</v>
      </c>
      <c r="L54" s="202">
        <v>0</v>
      </c>
    </row>
    <row r="55" spans="2:13" ht="17.25" customHeight="1" x14ac:dyDescent="0.2">
      <c r="B55" s="58" t="s">
        <v>137</v>
      </c>
      <c r="C55" s="56"/>
      <c r="D55" s="56"/>
      <c r="E55" s="56"/>
      <c r="F55" s="57"/>
      <c r="G55" s="56"/>
      <c r="H55" s="58"/>
      <c r="I55" s="58"/>
      <c r="K55" s="202">
        <v>1987</v>
      </c>
      <c r="L55" s="202">
        <v>190406</v>
      </c>
    </row>
    <row r="56" spans="2:13" ht="17.25" customHeight="1" x14ac:dyDescent="0.2">
      <c r="B56" s="58" t="s">
        <v>138</v>
      </c>
      <c r="C56" s="56"/>
      <c r="D56" s="56"/>
      <c r="E56" s="56"/>
      <c r="F56" s="57"/>
      <c r="G56" s="56"/>
      <c r="H56" s="58"/>
      <c r="I56" s="58"/>
      <c r="K56" s="202">
        <v>0</v>
      </c>
      <c r="L56" s="202">
        <v>0</v>
      </c>
    </row>
    <row r="57" spans="2:13" ht="17.25" customHeight="1" x14ac:dyDescent="0.2">
      <c r="B57" s="58" t="s">
        <v>139</v>
      </c>
      <c r="C57" s="56"/>
      <c r="D57" s="56"/>
      <c r="E57" s="56"/>
      <c r="F57" s="57"/>
      <c r="G57" s="56"/>
      <c r="H57" s="58"/>
      <c r="I57" s="58"/>
      <c r="K57" s="203">
        <v>0</v>
      </c>
      <c r="L57" s="203">
        <v>1318794</v>
      </c>
    </row>
    <row r="58" spans="2:13" s="51" customFormat="1" ht="17.25" customHeight="1" x14ac:dyDescent="0.2">
      <c r="B58" s="71" t="s">
        <v>140</v>
      </c>
      <c r="C58" s="158"/>
      <c r="D58" s="158"/>
      <c r="E58" s="158"/>
      <c r="F58" s="159"/>
      <c r="G58" s="158"/>
      <c r="H58" s="71"/>
      <c r="I58" s="71"/>
      <c r="K58" s="198">
        <f>SUM(K54:K57)</f>
        <v>1987</v>
      </c>
      <c r="L58" s="198">
        <f>SUM(L54:L57)</f>
        <v>1509200</v>
      </c>
      <c r="M58" s="184"/>
    </row>
    <row r="59" spans="2:13" ht="5.25" customHeight="1" x14ac:dyDescent="0.2">
      <c r="B59" s="58"/>
      <c r="C59" s="56"/>
      <c r="D59" s="56"/>
      <c r="E59" s="56"/>
      <c r="F59" s="57"/>
      <c r="G59" s="56"/>
      <c r="H59" s="58"/>
      <c r="I59" s="58"/>
      <c r="K59" s="202"/>
      <c r="L59" s="202"/>
    </row>
    <row r="60" spans="2:13" ht="15.75" customHeight="1" x14ac:dyDescent="0.2">
      <c r="B60" s="71" t="s">
        <v>141</v>
      </c>
      <c r="C60" s="56"/>
      <c r="D60" s="56"/>
      <c r="E60" s="56"/>
      <c r="F60" s="57"/>
      <c r="G60" s="56"/>
      <c r="H60" s="58"/>
      <c r="I60" s="58"/>
      <c r="K60" s="202"/>
      <c r="L60" s="202"/>
      <c r="M60" s="90"/>
    </row>
    <row r="61" spans="2:13" ht="14.25" customHeight="1" x14ac:dyDescent="0.2">
      <c r="B61" s="58" t="s">
        <v>142</v>
      </c>
      <c r="C61" s="56"/>
      <c r="D61" s="56"/>
      <c r="E61" s="56"/>
      <c r="F61" s="57"/>
      <c r="G61" s="56"/>
      <c r="H61" s="58"/>
      <c r="I61" s="58"/>
      <c r="K61" s="202">
        <v>0</v>
      </c>
      <c r="L61" s="202">
        <v>0</v>
      </c>
    </row>
    <row r="62" spans="2:13" ht="14.25" customHeight="1" x14ac:dyDescent="0.2">
      <c r="B62" s="58" t="s">
        <v>143</v>
      </c>
      <c r="C62" s="56"/>
      <c r="D62" s="56"/>
      <c r="E62" s="56"/>
      <c r="F62" s="57"/>
      <c r="G62" s="56"/>
      <c r="H62" s="58"/>
      <c r="I62" s="58"/>
      <c r="K62" s="203">
        <v>0</v>
      </c>
      <c r="L62" s="203">
        <v>0</v>
      </c>
    </row>
    <row r="63" spans="2:13" s="51" customFormat="1" ht="18.75" customHeight="1" x14ac:dyDescent="0.2">
      <c r="B63" s="71" t="s">
        <v>144</v>
      </c>
      <c r="C63" s="158"/>
      <c r="D63" s="158"/>
      <c r="E63" s="158"/>
      <c r="F63" s="159"/>
      <c r="G63" s="158"/>
      <c r="H63" s="71"/>
      <c r="I63" s="71"/>
      <c r="K63" s="198">
        <f>SUM(K61:K62)</f>
        <v>0</v>
      </c>
      <c r="L63" s="198">
        <f>SUM(L61:L62)</f>
        <v>0</v>
      </c>
    </row>
    <row r="64" spans="2:13" ht="12.75" x14ac:dyDescent="0.2">
      <c r="B64" s="56"/>
      <c r="C64" s="56"/>
      <c r="D64" s="56"/>
      <c r="E64" s="56"/>
      <c r="F64" s="57"/>
      <c r="G64" s="56"/>
      <c r="H64" s="58"/>
      <c r="I64" s="58"/>
      <c r="K64" s="157"/>
    </row>
    <row r="65" spans="2:11" ht="5.25" customHeight="1" x14ac:dyDescent="0.2">
      <c r="K65" s="157"/>
    </row>
    <row r="66" spans="2:11" ht="21" customHeight="1" x14ac:dyDescent="0.2">
      <c r="B66" s="48"/>
      <c r="C66" s="48"/>
      <c r="D66" s="48"/>
      <c r="G66" s="48"/>
      <c r="H66" s="48"/>
      <c r="I66" s="48"/>
      <c r="K66" s="58"/>
    </row>
    <row r="67" spans="2:11" ht="13.5" customHeight="1" x14ac:dyDescent="0.2">
      <c r="B67" s="51" t="s">
        <v>21</v>
      </c>
      <c r="G67" s="51" t="s">
        <v>22</v>
      </c>
      <c r="K67" s="58"/>
    </row>
    <row r="68" spans="2:11" ht="13.5" customHeight="1" x14ac:dyDescent="0.2">
      <c r="B68" s="47" t="s">
        <v>49</v>
      </c>
      <c r="G68" s="235" t="s">
        <v>85</v>
      </c>
      <c r="H68" s="235"/>
      <c r="I68" s="235"/>
      <c r="K68" s="58"/>
    </row>
    <row r="69" spans="2:11" ht="13.5" customHeight="1" x14ac:dyDescent="0.2">
      <c r="B69" s="47" t="s">
        <v>60</v>
      </c>
      <c r="G69" s="235" t="s">
        <v>86</v>
      </c>
      <c r="H69" s="235"/>
      <c r="I69" s="235"/>
      <c r="K69" s="58"/>
    </row>
    <row r="70" spans="2:11" ht="5.25" customHeight="1" x14ac:dyDescent="0.2">
      <c r="K70" s="58"/>
    </row>
    <row r="71" spans="2:11" ht="3" customHeight="1" x14ac:dyDescent="0.2">
      <c r="K71" s="58"/>
    </row>
    <row r="72" spans="2:11" ht="16.5" customHeight="1" x14ac:dyDescent="0.25">
      <c r="B72" s="124" t="s">
        <v>59</v>
      </c>
      <c r="K72" s="58"/>
    </row>
  </sheetData>
  <mergeCells count="7">
    <mergeCell ref="G69:I69"/>
    <mergeCell ref="B1:K1"/>
    <mergeCell ref="B2:K2"/>
    <mergeCell ref="B3:K3"/>
    <mergeCell ref="B4:K4"/>
    <mergeCell ref="B5:K5"/>
    <mergeCell ref="G68:I68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opLeftCell="A67" workbookViewId="0">
      <selection activeCell="F74" sqref="F74"/>
    </sheetView>
  </sheetViews>
  <sheetFormatPr baseColWidth="10" defaultRowHeight="16.5" x14ac:dyDescent="0.3"/>
  <cols>
    <col min="1" max="1" width="47.85546875" style="88" customWidth="1"/>
    <col min="2" max="2" width="13.140625" style="89" customWidth="1"/>
    <col min="3" max="3" width="2.7109375" style="88" hidden="1" customWidth="1"/>
    <col min="4" max="4" width="13.5703125" style="89" customWidth="1"/>
    <col min="5" max="5" width="11.7109375" style="2" customWidth="1"/>
    <col min="6" max="6" width="31.140625" style="88" customWidth="1"/>
    <col min="7" max="7" width="12.28515625" style="88" customWidth="1"/>
    <col min="8" max="8" width="16.85546875" style="88" customWidth="1"/>
    <col min="9" max="9" width="17.140625" style="88" customWidth="1"/>
    <col min="10" max="11" width="11.42578125" style="2"/>
    <col min="12" max="12" width="10.7109375" style="2" bestFit="1" customWidth="1"/>
    <col min="13" max="13" width="7.28515625" style="2" bestFit="1" customWidth="1"/>
    <col min="14" max="14" width="10.7109375" style="2" bestFit="1" customWidth="1"/>
    <col min="15" max="16384" width="11.42578125" style="2"/>
  </cols>
  <sheetData>
    <row r="1" spans="1:9" s="1" customFormat="1" x14ac:dyDescent="0.3">
      <c r="A1" s="238" t="s">
        <v>26</v>
      </c>
      <c r="B1" s="73" t="s">
        <v>199</v>
      </c>
      <c r="C1" s="117"/>
      <c r="D1" s="75" t="s">
        <v>155</v>
      </c>
      <c r="E1" s="26"/>
      <c r="F1" s="245" t="s">
        <v>27</v>
      </c>
      <c r="G1" s="246" t="s">
        <v>28</v>
      </c>
      <c r="H1" s="73" t="s">
        <v>199</v>
      </c>
      <c r="I1" s="75" t="s">
        <v>155</v>
      </c>
    </row>
    <row r="2" spans="1:9" s="1" customFormat="1" x14ac:dyDescent="0.3">
      <c r="A2" s="244"/>
      <c r="B2" s="76" t="s">
        <v>29</v>
      </c>
      <c r="C2" s="98"/>
      <c r="D2" s="78" t="s">
        <v>29</v>
      </c>
      <c r="E2" s="26"/>
      <c r="F2" s="238"/>
      <c r="G2" s="231"/>
      <c r="H2" s="76" t="s">
        <v>29</v>
      </c>
      <c r="I2" s="78" t="s">
        <v>29</v>
      </c>
    </row>
    <row r="3" spans="1:9" x14ac:dyDescent="0.3">
      <c r="A3" s="103" t="s">
        <v>51</v>
      </c>
      <c r="B3" s="92">
        <f>+'Balance '!D15</f>
        <v>38000</v>
      </c>
      <c r="C3" s="104"/>
      <c r="D3" s="111">
        <v>0</v>
      </c>
      <c r="E3" s="26"/>
      <c r="F3" s="103" t="s">
        <v>30</v>
      </c>
      <c r="G3" s="123">
        <v>3183004215</v>
      </c>
      <c r="H3" s="92">
        <v>0</v>
      </c>
      <c r="I3" s="111">
        <v>0</v>
      </c>
    </row>
    <row r="4" spans="1:9" x14ac:dyDescent="0.3">
      <c r="A4" s="103" t="s">
        <v>3</v>
      </c>
      <c r="B4" s="92">
        <v>1987</v>
      </c>
      <c r="C4" s="92"/>
      <c r="D4" s="111">
        <v>190406</v>
      </c>
      <c r="E4" s="27"/>
      <c r="F4" s="103" t="s">
        <v>61</v>
      </c>
      <c r="G4" s="123">
        <v>3183502761</v>
      </c>
      <c r="H4" s="92">
        <v>0</v>
      </c>
      <c r="I4" s="111">
        <v>0</v>
      </c>
    </row>
    <row r="5" spans="1:9" x14ac:dyDescent="0.3">
      <c r="A5" s="59" t="s">
        <v>31</v>
      </c>
      <c r="B5" s="60">
        <f>SUM(B3:B4)</f>
        <v>39987</v>
      </c>
      <c r="C5" s="118"/>
      <c r="D5" s="61">
        <f>SUM(D3:D4)</f>
        <v>190406</v>
      </c>
      <c r="E5" s="3"/>
      <c r="F5" s="80" t="s">
        <v>101</v>
      </c>
      <c r="G5" s="48">
        <v>3192541189</v>
      </c>
      <c r="H5" s="185">
        <v>1987</v>
      </c>
      <c r="I5" s="186">
        <v>190406</v>
      </c>
    </row>
    <row r="6" spans="1:9" x14ac:dyDescent="0.3">
      <c r="A6" s="99"/>
      <c r="B6" s="187"/>
      <c r="C6" s="100"/>
      <c r="D6" s="188"/>
      <c r="E6" s="3"/>
      <c r="F6" s="247" t="s">
        <v>32</v>
      </c>
      <c r="G6" s="248"/>
      <c r="H6" s="106">
        <f>SUM(H3:H5)</f>
        <v>1987</v>
      </c>
      <c r="I6" s="107">
        <f>SUM(I3:I5)</f>
        <v>190406</v>
      </c>
    </row>
    <row r="7" spans="1:9" x14ac:dyDescent="0.3">
      <c r="A7" s="238" t="s">
        <v>26</v>
      </c>
      <c r="B7" s="73" t="s">
        <v>199</v>
      </c>
      <c r="C7" s="117"/>
      <c r="D7" s="75" t="s">
        <v>155</v>
      </c>
      <c r="E7" s="5"/>
    </row>
    <row r="8" spans="1:9" x14ac:dyDescent="0.3">
      <c r="A8" s="244"/>
      <c r="B8" s="76" t="s">
        <v>29</v>
      </c>
      <c r="C8" s="77"/>
      <c r="D8" s="78" t="s">
        <v>29</v>
      </c>
    </row>
    <row r="9" spans="1:9" x14ac:dyDescent="0.3">
      <c r="A9" s="79" t="str">
        <f>+'[1]Balance '!B20</f>
        <v>Inversiones Administración de Liquidez</v>
      </c>
      <c r="B9" s="249">
        <v>0</v>
      </c>
      <c r="C9" s="74"/>
      <c r="D9" s="251">
        <v>1318794</v>
      </c>
    </row>
    <row r="10" spans="1:9" x14ac:dyDescent="0.3">
      <c r="A10" s="80" t="str">
        <f>+'[1]Balance '!B21</f>
        <v>en Títulos de Deuda</v>
      </c>
      <c r="B10" s="250"/>
      <c r="C10" s="81"/>
      <c r="D10" s="252"/>
      <c r="G10" s="119"/>
    </row>
    <row r="11" spans="1:9" x14ac:dyDescent="0.3">
      <c r="A11" s="59" t="s">
        <v>102</v>
      </c>
      <c r="B11" s="60">
        <f>SUM(B9)</f>
        <v>0</v>
      </c>
      <c r="C11" s="52"/>
      <c r="D11" s="61">
        <f>SUM(D9)</f>
        <v>1318794</v>
      </c>
    </row>
    <row r="13" spans="1:9" x14ac:dyDescent="0.3">
      <c r="A13" s="238" t="s">
        <v>26</v>
      </c>
      <c r="B13" s="73" t="s">
        <v>199</v>
      </c>
      <c r="C13" s="117"/>
      <c r="D13" s="75" t="s">
        <v>155</v>
      </c>
    </row>
    <row r="14" spans="1:9" x14ac:dyDescent="0.3">
      <c r="A14" s="239"/>
      <c r="B14" s="82" t="s">
        <v>29</v>
      </c>
      <c r="C14" s="83"/>
      <c r="D14" s="84" t="s">
        <v>29</v>
      </c>
    </row>
    <row r="15" spans="1:9" x14ac:dyDescent="0.3">
      <c r="A15" s="79" t="s">
        <v>156</v>
      </c>
      <c r="B15" s="85">
        <v>1122391</v>
      </c>
      <c r="C15" s="77"/>
      <c r="D15" s="86">
        <v>433841</v>
      </c>
    </row>
    <row r="16" spans="1:9" x14ac:dyDescent="0.3">
      <c r="A16" s="59" t="s">
        <v>33</v>
      </c>
      <c r="B16" s="60">
        <f>SUM(B15)</f>
        <v>1122391</v>
      </c>
      <c r="C16" s="52"/>
      <c r="D16" s="61">
        <f>SUM(D15)</f>
        <v>433841</v>
      </c>
    </row>
    <row r="18" spans="1:9" x14ac:dyDescent="0.3">
      <c r="A18" s="238" t="s">
        <v>26</v>
      </c>
      <c r="B18" s="73" t="s">
        <v>199</v>
      </c>
      <c r="C18" s="117"/>
      <c r="D18" s="75" t="s">
        <v>155</v>
      </c>
      <c r="E18" s="3"/>
    </row>
    <row r="19" spans="1:9" x14ac:dyDescent="0.3">
      <c r="A19" s="239"/>
      <c r="B19" s="82" t="s">
        <v>29</v>
      </c>
      <c r="C19" s="83"/>
      <c r="D19" s="84" t="s">
        <v>29</v>
      </c>
      <c r="E19" s="3"/>
    </row>
    <row r="20" spans="1:9" x14ac:dyDescent="0.3">
      <c r="A20" s="189" t="s">
        <v>193</v>
      </c>
      <c r="B20" s="85">
        <v>1639</v>
      </c>
      <c r="C20" s="77"/>
      <c r="D20" s="96">
        <v>0</v>
      </c>
      <c r="E20" s="3"/>
    </row>
    <row r="21" spans="1:9" x14ac:dyDescent="0.3">
      <c r="A21" s="193" t="s">
        <v>194</v>
      </c>
      <c r="B21" s="85">
        <v>682</v>
      </c>
      <c r="C21" s="83"/>
      <c r="D21" s="186">
        <f>+'Balance '!F27</f>
        <v>0</v>
      </c>
      <c r="E21" s="3"/>
    </row>
    <row r="22" spans="1:9" x14ac:dyDescent="0.3">
      <c r="A22" s="59" t="s">
        <v>204</v>
      </c>
      <c r="B22" s="60">
        <f>SUM(B20:B21)</f>
        <v>2321</v>
      </c>
      <c r="C22" s="52"/>
      <c r="D22" s="61">
        <f>SUM(D20:D21)</f>
        <v>0</v>
      </c>
      <c r="E22" s="3"/>
    </row>
    <row r="23" spans="1:9" x14ac:dyDescent="0.3">
      <c r="A23" s="51"/>
      <c r="B23" s="72"/>
      <c r="C23" s="51"/>
      <c r="D23" s="72"/>
      <c r="E23" s="3"/>
    </row>
    <row r="24" spans="1:9" ht="15.75" customHeight="1" x14ac:dyDescent="0.3">
      <c r="A24" s="238" t="s">
        <v>26</v>
      </c>
      <c r="B24" s="73" t="s">
        <v>199</v>
      </c>
      <c r="C24" s="117"/>
      <c r="D24" s="75" t="s">
        <v>155</v>
      </c>
      <c r="E24" s="26"/>
      <c r="G24" s="119"/>
    </row>
    <row r="25" spans="1:9" s="5" customFormat="1" ht="15" customHeight="1" x14ac:dyDescent="0.3">
      <c r="A25" s="239"/>
      <c r="B25" s="82" t="s">
        <v>29</v>
      </c>
      <c r="C25" s="83"/>
      <c r="D25" s="84" t="s">
        <v>29</v>
      </c>
      <c r="E25" s="26"/>
      <c r="F25" s="47"/>
      <c r="G25" s="120"/>
      <c r="H25" s="47"/>
      <c r="I25" s="47"/>
    </row>
    <row r="26" spans="1:9" s="5" customFormat="1" ht="15" customHeight="1" x14ac:dyDescent="0.3">
      <c r="A26" s="191" t="s">
        <v>184</v>
      </c>
      <c r="B26" s="192">
        <v>11298</v>
      </c>
      <c r="C26" s="74"/>
      <c r="D26" s="194">
        <v>0</v>
      </c>
      <c r="E26" s="26"/>
      <c r="F26" s="47"/>
      <c r="G26" s="120"/>
      <c r="H26" s="47"/>
      <c r="I26" s="47"/>
    </row>
    <row r="27" spans="1:9" s="5" customFormat="1" ht="15" customHeight="1" x14ac:dyDescent="0.3">
      <c r="A27" s="189" t="s">
        <v>189</v>
      </c>
      <c r="B27" s="190">
        <v>10246</v>
      </c>
      <c r="C27" s="77"/>
      <c r="D27" s="194">
        <v>0</v>
      </c>
      <c r="E27" s="26"/>
      <c r="F27" s="47"/>
      <c r="G27" s="120"/>
      <c r="H27" s="47"/>
      <c r="I27" s="47"/>
    </row>
    <row r="28" spans="1:9" s="5" customFormat="1" ht="15" customHeight="1" x14ac:dyDescent="0.3">
      <c r="A28" s="189" t="s">
        <v>63</v>
      </c>
      <c r="B28" s="190">
        <v>10721</v>
      </c>
      <c r="C28" s="77"/>
      <c r="D28" s="194">
        <v>5780</v>
      </c>
      <c r="E28" s="26"/>
      <c r="F28" s="47"/>
      <c r="G28" s="120"/>
      <c r="H28" s="47"/>
      <c r="I28" s="47"/>
    </row>
    <row r="29" spans="1:9" s="5" customFormat="1" ht="15" customHeight="1" x14ac:dyDescent="0.3">
      <c r="A29" s="189" t="s">
        <v>153</v>
      </c>
      <c r="B29" s="190">
        <v>919703</v>
      </c>
      <c r="C29" s="77"/>
      <c r="D29" s="194">
        <v>617382</v>
      </c>
      <c r="E29" s="26"/>
      <c r="F29" s="47"/>
      <c r="G29" s="120"/>
      <c r="H29" s="47"/>
      <c r="I29" s="47"/>
    </row>
    <row r="30" spans="1:9" s="5" customFormat="1" ht="15" customHeight="1" x14ac:dyDescent="0.3">
      <c r="A30" s="189" t="s">
        <v>93</v>
      </c>
      <c r="B30" s="190">
        <v>839727</v>
      </c>
      <c r="C30" s="77"/>
      <c r="D30" s="194">
        <v>47789</v>
      </c>
      <c r="E30" s="26"/>
      <c r="F30" s="47"/>
      <c r="G30" s="120"/>
      <c r="H30" s="47"/>
      <c r="I30" s="47"/>
    </row>
    <row r="31" spans="1:9" s="5" customFormat="1" ht="15" customHeight="1" x14ac:dyDescent="0.3">
      <c r="A31" s="189" t="s">
        <v>152</v>
      </c>
      <c r="B31" s="190">
        <v>2821</v>
      </c>
      <c r="C31" s="77"/>
      <c r="D31" s="194">
        <v>1300</v>
      </c>
      <c r="E31" s="26"/>
      <c r="F31" s="47"/>
      <c r="G31" s="120"/>
      <c r="H31" s="47"/>
      <c r="I31" s="47"/>
    </row>
    <row r="32" spans="1:9" s="5" customFormat="1" ht="15" customHeight="1" x14ac:dyDescent="0.3">
      <c r="A32" s="189" t="s">
        <v>64</v>
      </c>
      <c r="B32" s="190">
        <v>-257065</v>
      </c>
      <c r="C32" s="77"/>
      <c r="D32" s="194">
        <v>-51509</v>
      </c>
      <c r="E32" s="26"/>
      <c r="F32" s="47"/>
      <c r="G32" s="120"/>
      <c r="H32" s="47"/>
      <c r="I32" s="47"/>
    </row>
    <row r="33" spans="1:9" x14ac:dyDescent="0.3">
      <c r="A33" s="59" t="s">
        <v>66</v>
      </c>
      <c r="B33" s="60">
        <f>SUM(B26:B32)</f>
        <v>1537451</v>
      </c>
      <c r="C33" s="52"/>
      <c r="D33" s="61">
        <f>SUM(D26:D32)</f>
        <v>620742</v>
      </c>
      <c r="E33" s="3"/>
    </row>
    <row r="35" spans="1:9" ht="12.75" customHeight="1" x14ac:dyDescent="0.3"/>
    <row r="36" spans="1:9" x14ac:dyDescent="0.3">
      <c r="A36" s="238" t="s">
        <v>26</v>
      </c>
      <c r="B36" s="73" t="s">
        <v>199</v>
      </c>
      <c r="C36" s="117"/>
      <c r="D36" s="75" t="s">
        <v>155</v>
      </c>
    </row>
    <row r="37" spans="1:9" x14ac:dyDescent="0.3">
      <c r="A37" s="239"/>
      <c r="B37" s="82" t="s">
        <v>29</v>
      </c>
      <c r="C37" s="83"/>
      <c r="D37" s="84" t="s">
        <v>29</v>
      </c>
    </row>
    <row r="38" spans="1:9" x14ac:dyDescent="0.3">
      <c r="A38" s="189" t="s">
        <v>191</v>
      </c>
      <c r="B38" s="190">
        <v>1194</v>
      </c>
      <c r="C38" s="77"/>
      <c r="D38" s="96">
        <v>0</v>
      </c>
    </row>
    <row r="39" spans="1:9" x14ac:dyDescent="0.3">
      <c r="A39" s="189" t="s">
        <v>88</v>
      </c>
      <c r="B39" s="85">
        <v>2698439</v>
      </c>
      <c r="C39" s="77"/>
      <c r="D39" s="86">
        <v>2518503</v>
      </c>
    </row>
    <row r="40" spans="1:9" x14ac:dyDescent="0.3">
      <c r="A40" s="189" t="s">
        <v>89</v>
      </c>
      <c r="B40" s="85">
        <v>-1783600</v>
      </c>
      <c r="C40" s="77"/>
      <c r="D40" s="86">
        <v>-899774</v>
      </c>
    </row>
    <row r="41" spans="1:9" x14ac:dyDescent="0.3">
      <c r="A41" s="59" t="s">
        <v>103</v>
      </c>
      <c r="B41" s="60">
        <f>SUM(B38:B40)</f>
        <v>916033</v>
      </c>
      <c r="C41" s="52"/>
      <c r="D41" s="61">
        <f>SUM(D38:D40)</f>
        <v>1618729</v>
      </c>
    </row>
    <row r="44" spans="1:9" x14ac:dyDescent="0.3">
      <c r="A44" s="238" t="s">
        <v>26</v>
      </c>
      <c r="B44" s="73" t="s">
        <v>199</v>
      </c>
      <c r="C44" s="117"/>
      <c r="D44" s="75" t="s">
        <v>155</v>
      </c>
      <c r="E44" s="26"/>
    </row>
    <row r="45" spans="1:9" s="5" customFormat="1" x14ac:dyDescent="0.3">
      <c r="A45" s="239"/>
      <c r="B45" s="82" t="s">
        <v>29</v>
      </c>
      <c r="C45" s="83"/>
      <c r="D45" s="84" t="s">
        <v>29</v>
      </c>
      <c r="E45" s="26"/>
      <c r="F45" s="47"/>
      <c r="G45" s="47"/>
      <c r="H45" s="47"/>
      <c r="I45" s="47"/>
    </row>
    <row r="46" spans="1:9" s="5" customFormat="1" x14ac:dyDescent="0.3">
      <c r="A46" s="79" t="s">
        <v>55</v>
      </c>
      <c r="B46" s="85">
        <v>2692376</v>
      </c>
      <c r="C46" s="77"/>
      <c r="D46" s="86">
        <v>428425</v>
      </c>
      <c r="E46" s="27"/>
      <c r="F46" s="47"/>
      <c r="G46" s="47"/>
      <c r="H46" s="47"/>
      <c r="I46" s="47"/>
    </row>
    <row r="47" spans="1:9" x14ac:dyDescent="0.3">
      <c r="A47" s="87" t="s">
        <v>7</v>
      </c>
      <c r="B47" s="85">
        <v>59236</v>
      </c>
      <c r="C47" s="77"/>
      <c r="D47" s="86">
        <v>993682</v>
      </c>
      <c r="E47" s="27"/>
    </row>
    <row r="48" spans="1:9" x14ac:dyDescent="0.3">
      <c r="A48" s="87" t="s">
        <v>47</v>
      </c>
      <c r="B48" s="85">
        <v>475307</v>
      </c>
      <c r="C48" s="90"/>
      <c r="D48" s="86">
        <v>201654</v>
      </c>
      <c r="E48" s="4"/>
    </row>
    <row r="49" spans="1:6" x14ac:dyDescent="0.3">
      <c r="A49" s="87" t="s">
        <v>104</v>
      </c>
      <c r="B49" s="185">
        <v>0</v>
      </c>
      <c r="C49" s="81"/>
      <c r="D49" s="186">
        <v>349</v>
      </c>
      <c r="E49" s="4"/>
    </row>
    <row r="50" spans="1:6" x14ac:dyDescent="0.3">
      <c r="A50" s="59" t="s">
        <v>34</v>
      </c>
      <c r="B50" s="60">
        <f>SUM(B46:B49)</f>
        <v>3226919</v>
      </c>
      <c r="C50" s="52"/>
      <c r="D50" s="61">
        <f>SUM(D46:D49)</f>
        <v>1624110</v>
      </c>
      <c r="E50" s="3"/>
    </row>
    <row r="52" spans="1:6" x14ac:dyDescent="0.3">
      <c r="A52" s="238" t="s">
        <v>26</v>
      </c>
      <c r="B52" s="73" t="s">
        <v>199</v>
      </c>
      <c r="C52" s="117"/>
      <c r="D52" s="75" t="s">
        <v>155</v>
      </c>
      <c r="E52" s="26"/>
    </row>
    <row r="53" spans="1:6" x14ac:dyDescent="0.3">
      <c r="A53" s="239"/>
      <c r="B53" s="82" t="s">
        <v>29</v>
      </c>
      <c r="C53" s="83"/>
      <c r="D53" s="84" t="s">
        <v>29</v>
      </c>
      <c r="E53" s="26"/>
    </row>
    <row r="54" spans="1:6" x14ac:dyDescent="0.3">
      <c r="A54" s="103" t="s">
        <v>56</v>
      </c>
      <c r="B54" s="92">
        <v>382051</v>
      </c>
      <c r="C54" s="93"/>
      <c r="D54" s="111">
        <v>163141</v>
      </c>
      <c r="E54" s="27"/>
    </row>
    <row r="55" spans="1:6" x14ac:dyDescent="0.3">
      <c r="A55" s="59" t="s">
        <v>70</v>
      </c>
      <c r="B55" s="60">
        <f>SUM(B54)</f>
        <v>382051</v>
      </c>
      <c r="C55" s="52"/>
      <c r="D55" s="61">
        <f>SUM(D54)</f>
        <v>163141</v>
      </c>
      <c r="E55" s="3"/>
    </row>
    <row r="57" spans="1:6" x14ac:dyDescent="0.3">
      <c r="A57" s="238" t="s">
        <v>69</v>
      </c>
      <c r="B57" s="73" t="s">
        <v>199</v>
      </c>
      <c r="C57" s="117"/>
      <c r="D57" s="75" t="s">
        <v>155</v>
      </c>
    </row>
    <row r="58" spans="1:6" x14ac:dyDescent="0.3">
      <c r="A58" s="239"/>
      <c r="B58" s="82" t="s">
        <v>29</v>
      </c>
      <c r="C58" s="83"/>
      <c r="D58" s="84" t="s">
        <v>29</v>
      </c>
    </row>
    <row r="59" spans="1:6" x14ac:dyDescent="0.3">
      <c r="A59" s="87" t="s">
        <v>105</v>
      </c>
      <c r="B59" s="95">
        <v>167470</v>
      </c>
      <c r="C59" s="77"/>
      <c r="D59" s="86">
        <v>6907</v>
      </c>
      <c r="F59" s="143"/>
    </row>
    <row r="60" spans="1:6" x14ac:dyDescent="0.3">
      <c r="A60" s="87" t="s">
        <v>68</v>
      </c>
      <c r="B60" s="95">
        <v>139901</v>
      </c>
      <c r="C60" s="47"/>
      <c r="D60" s="97">
        <v>65704</v>
      </c>
      <c r="F60" s="143"/>
    </row>
    <row r="61" spans="1:6" x14ac:dyDescent="0.3">
      <c r="A61" s="87" t="s">
        <v>67</v>
      </c>
      <c r="B61" s="95">
        <v>46108</v>
      </c>
      <c r="C61" s="47"/>
      <c r="D61" s="97">
        <v>32233</v>
      </c>
      <c r="F61" s="143"/>
    </row>
    <row r="62" spans="1:6" x14ac:dyDescent="0.3">
      <c r="A62" s="87" t="s">
        <v>71</v>
      </c>
      <c r="B62" s="95">
        <v>28572</v>
      </c>
      <c r="C62" s="47"/>
      <c r="D62" s="97">
        <v>58297</v>
      </c>
      <c r="F62" s="143"/>
    </row>
    <row r="63" spans="1:6" x14ac:dyDescent="0.3">
      <c r="A63" s="99" t="s">
        <v>72</v>
      </c>
      <c r="B63" s="240">
        <f>SUM(B59:B62)</f>
        <v>382051</v>
      </c>
      <c r="C63" s="100"/>
      <c r="D63" s="242">
        <f>SUM(D59:D62)</f>
        <v>163141</v>
      </c>
    </row>
    <row r="64" spans="1:6" x14ac:dyDescent="0.3">
      <c r="A64" s="101" t="s">
        <v>73</v>
      </c>
      <c r="B64" s="241"/>
      <c r="C64" s="102"/>
      <c r="D64" s="243"/>
    </row>
    <row r="66" spans="1:9" x14ac:dyDescent="0.3">
      <c r="A66" s="238" t="s">
        <v>26</v>
      </c>
      <c r="B66" s="73" t="s">
        <v>199</v>
      </c>
      <c r="C66" s="117"/>
      <c r="D66" s="75" t="s">
        <v>155</v>
      </c>
    </row>
    <row r="67" spans="1:9" x14ac:dyDescent="0.3">
      <c r="A67" s="239"/>
      <c r="B67" s="82" t="s">
        <v>29</v>
      </c>
      <c r="C67" s="83"/>
      <c r="D67" s="84" t="s">
        <v>29</v>
      </c>
    </row>
    <row r="68" spans="1:9" x14ac:dyDescent="0.3">
      <c r="A68" s="142" t="s">
        <v>151</v>
      </c>
      <c r="B68" s="92">
        <v>6585</v>
      </c>
      <c r="C68" s="93"/>
      <c r="D68" s="111">
        <v>173</v>
      </c>
    </row>
    <row r="69" spans="1:9" x14ac:dyDescent="0.3">
      <c r="A69" s="59" t="s">
        <v>35</v>
      </c>
      <c r="B69" s="60">
        <f>SUM(B68)</f>
        <v>6585</v>
      </c>
      <c r="C69" s="52"/>
      <c r="D69" s="61">
        <f>SUM(D68)</f>
        <v>173</v>
      </c>
    </row>
    <row r="71" spans="1:9" x14ac:dyDescent="0.3">
      <c r="A71" s="238" t="s">
        <v>69</v>
      </c>
      <c r="B71" s="73" t="s">
        <v>199</v>
      </c>
      <c r="C71" s="117"/>
      <c r="D71" s="75" t="s">
        <v>155</v>
      </c>
    </row>
    <row r="72" spans="1:9" x14ac:dyDescent="0.3">
      <c r="A72" s="244"/>
      <c r="B72" s="76" t="s">
        <v>29</v>
      </c>
      <c r="C72" s="77"/>
      <c r="D72" s="78" t="s">
        <v>29</v>
      </c>
    </row>
    <row r="73" spans="1:9" x14ac:dyDescent="0.3">
      <c r="A73" s="103" t="s">
        <v>97</v>
      </c>
      <c r="B73" s="108">
        <v>2395088</v>
      </c>
      <c r="C73" s="91"/>
      <c r="D73" s="109">
        <v>9503931.8800000008</v>
      </c>
    </row>
    <row r="74" spans="1:9" x14ac:dyDescent="0.3">
      <c r="A74" s="103" t="s">
        <v>110</v>
      </c>
      <c r="B74" s="108">
        <v>-1359029</v>
      </c>
      <c r="C74" s="91"/>
      <c r="D74" s="109">
        <v>-6867278.8770000003</v>
      </c>
    </row>
    <row r="75" spans="1:9" x14ac:dyDescent="0.3">
      <c r="A75" s="103" t="str">
        <f>+'Balance '!H42</f>
        <v>Patrimonio Institucional Incorporado</v>
      </c>
      <c r="B75" s="108">
        <v>20502</v>
      </c>
      <c r="C75" s="91"/>
      <c r="D75" s="105">
        <v>617381</v>
      </c>
    </row>
    <row r="76" spans="1:9" s="5" customFormat="1" x14ac:dyDescent="0.3">
      <c r="A76" s="103" t="s">
        <v>111</v>
      </c>
      <c r="B76" s="108">
        <v>-1091933</v>
      </c>
      <c r="C76" s="91"/>
      <c r="D76" s="109">
        <v>-858946</v>
      </c>
      <c r="E76" s="26"/>
      <c r="F76" s="47"/>
      <c r="G76" s="47"/>
      <c r="H76" s="47"/>
      <c r="I76" s="47"/>
    </row>
    <row r="77" spans="1:9" s="5" customFormat="1" x14ac:dyDescent="0.3">
      <c r="A77" s="101" t="s">
        <v>109</v>
      </c>
      <c r="B77" s="106">
        <f>SUM(B73:B76)</f>
        <v>-35372</v>
      </c>
      <c r="C77" s="102"/>
      <c r="D77" s="107">
        <f>SUM(D73:D76)</f>
        <v>2395088.0030000005</v>
      </c>
      <c r="E77" s="26"/>
      <c r="F77" s="47"/>
      <c r="G77" s="47"/>
      <c r="H77" s="47"/>
      <c r="I77" s="47"/>
    </row>
    <row r="78" spans="1:9" s="5" customFormat="1" x14ac:dyDescent="0.3">
      <c r="A78" s="47"/>
      <c r="B78" s="85"/>
      <c r="C78" s="90"/>
      <c r="D78" s="85"/>
      <c r="E78" s="27"/>
      <c r="F78" s="47"/>
      <c r="G78" s="47"/>
      <c r="H78" s="47"/>
      <c r="I78" s="47"/>
    </row>
    <row r="79" spans="1:9" s="5" customFormat="1" x14ac:dyDescent="0.3">
      <c r="A79" s="238" t="s">
        <v>69</v>
      </c>
      <c r="B79" s="73" t="s">
        <v>199</v>
      </c>
      <c r="C79" s="117"/>
      <c r="D79" s="75" t="s">
        <v>155</v>
      </c>
      <c r="E79" s="27"/>
      <c r="F79" s="47"/>
      <c r="G79" s="47"/>
      <c r="H79" s="47"/>
      <c r="I79" s="47"/>
    </row>
    <row r="80" spans="1:9" s="5" customFormat="1" x14ac:dyDescent="0.3">
      <c r="A80" s="239"/>
      <c r="B80" s="82" t="s">
        <v>29</v>
      </c>
      <c r="C80" s="83"/>
      <c r="D80" s="84" t="s">
        <v>29</v>
      </c>
      <c r="E80" s="27"/>
      <c r="F80" s="47"/>
      <c r="G80" s="47"/>
      <c r="H80" s="47"/>
      <c r="I80" s="47"/>
    </row>
    <row r="81" spans="1:9" s="5" customFormat="1" x14ac:dyDescent="0.3">
      <c r="A81" s="80" t="s">
        <v>195</v>
      </c>
      <c r="B81" s="185" t="e">
        <f>+'Est. Act. FESA'!#REF!</f>
        <v>#REF!</v>
      </c>
      <c r="C81" s="83"/>
      <c r="D81" s="186">
        <v>0</v>
      </c>
      <c r="E81" s="27"/>
      <c r="F81" s="47"/>
      <c r="G81" s="47"/>
      <c r="H81" s="47"/>
      <c r="I81" s="47"/>
    </row>
    <row r="82" spans="1:9" s="5" customFormat="1" x14ac:dyDescent="0.3">
      <c r="A82" s="101" t="s">
        <v>200</v>
      </c>
      <c r="B82" s="106" t="e">
        <f>SUM(B80:B81)</f>
        <v>#REF!</v>
      </c>
      <c r="C82" s="102"/>
      <c r="D82" s="107">
        <f>SUM(D80:D81)</f>
        <v>0</v>
      </c>
      <c r="E82" s="27"/>
      <c r="F82" s="47"/>
      <c r="G82" s="47"/>
      <c r="H82" s="47"/>
      <c r="I82" s="47"/>
    </row>
    <row r="83" spans="1:9" s="5" customFormat="1" x14ac:dyDescent="0.3">
      <c r="A83" s="47"/>
      <c r="B83" s="85"/>
      <c r="C83" s="77"/>
      <c r="D83" s="85"/>
      <c r="E83" s="27"/>
      <c r="F83" s="47"/>
      <c r="G83" s="47"/>
      <c r="H83" s="47"/>
      <c r="I83" s="47"/>
    </row>
    <row r="84" spans="1:9" x14ac:dyDescent="0.3">
      <c r="A84" s="238" t="s">
        <v>69</v>
      </c>
      <c r="B84" s="73" t="s">
        <v>199</v>
      </c>
      <c r="C84" s="117"/>
      <c r="D84" s="75" t="s">
        <v>155</v>
      </c>
    </row>
    <row r="85" spans="1:9" x14ac:dyDescent="0.3">
      <c r="A85" s="244"/>
      <c r="B85" s="76" t="s">
        <v>29</v>
      </c>
      <c r="C85" s="77"/>
      <c r="D85" s="78" t="s">
        <v>29</v>
      </c>
    </row>
    <row r="86" spans="1:9" x14ac:dyDescent="0.3">
      <c r="A86" s="103" t="s">
        <v>13</v>
      </c>
      <c r="B86" s="92">
        <v>21078873</v>
      </c>
      <c r="C86" s="110"/>
      <c r="D86" s="111">
        <v>13834013</v>
      </c>
    </row>
    <row r="87" spans="1:9" x14ac:dyDescent="0.3">
      <c r="A87" s="103" t="s">
        <v>98</v>
      </c>
      <c r="B87" s="92">
        <v>32500</v>
      </c>
      <c r="C87" s="91"/>
      <c r="D87" s="111">
        <v>34753.123</v>
      </c>
    </row>
    <row r="88" spans="1:9" s="5" customFormat="1" x14ac:dyDescent="0.3">
      <c r="A88" s="101" t="s">
        <v>37</v>
      </c>
      <c r="B88" s="106">
        <f>SUM(B86:B87)</f>
        <v>21111373</v>
      </c>
      <c r="C88" s="102"/>
      <c r="D88" s="107">
        <f>SUM(D86:D87)</f>
        <v>13868766.123</v>
      </c>
      <c r="E88" s="26"/>
      <c r="F88" s="47"/>
      <c r="G88" s="47"/>
      <c r="H88" s="47"/>
      <c r="I88" s="47"/>
    </row>
    <row r="89" spans="1:9" s="5" customFormat="1" x14ac:dyDescent="0.3">
      <c r="A89" s="51"/>
      <c r="B89" s="72"/>
      <c r="C89" s="51"/>
      <c r="D89" s="72"/>
      <c r="E89" s="26"/>
      <c r="F89" s="47"/>
      <c r="G89" s="47"/>
      <c r="H89" s="47"/>
      <c r="I89" s="47"/>
    </row>
    <row r="90" spans="1:9" s="5" customFormat="1" x14ac:dyDescent="0.3">
      <c r="A90" s="238" t="s">
        <v>69</v>
      </c>
      <c r="B90" s="73" t="s">
        <v>199</v>
      </c>
      <c r="C90" s="117"/>
      <c r="D90" s="75" t="s">
        <v>155</v>
      </c>
      <c r="E90" s="26"/>
      <c r="F90" s="47"/>
      <c r="G90" s="47"/>
      <c r="H90" s="47"/>
      <c r="I90" s="47"/>
    </row>
    <row r="91" spans="1:9" s="5" customFormat="1" x14ac:dyDescent="0.3">
      <c r="A91" s="244"/>
      <c r="B91" s="76" t="s">
        <v>29</v>
      </c>
      <c r="C91" s="77"/>
      <c r="D91" s="78" t="s">
        <v>29</v>
      </c>
      <c r="E91" s="26"/>
      <c r="F91" s="47"/>
      <c r="G91" s="47"/>
      <c r="H91" s="47"/>
      <c r="I91" s="47"/>
    </row>
    <row r="92" spans="1:9" s="5" customFormat="1" x14ac:dyDescent="0.3">
      <c r="A92" s="103" t="s">
        <v>202</v>
      </c>
      <c r="B92" s="92">
        <v>1639</v>
      </c>
      <c r="C92" s="110"/>
      <c r="D92" s="111">
        <v>0</v>
      </c>
      <c r="E92" s="26"/>
      <c r="F92" s="47"/>
      <c r="G92" s="47"/>
      <c r="H92" s="47"/>
      <c r="I92" s="47"/>
    </row>
    <row r="93" spans="1:9" s="5" customFormat="1" x14ac:dyDescent="0.3">
      <c r="A93" s="103" t="s">
        <v>203</v>
      </c>
      <c r="B93" s="92">
        <v>70742</v>
      </c>
      <c r="C93" s="110"/>
      <c r="D93" s="111">
        <v>166966</v>
      </c>
      <c r="E93" s="26"/>
      <c r="F93" s="47"/>
      <c r="G93" s="47"/>
      <c r="H93" s="47"/>
      <c r="I93" s="47"/>
    </row>
    <row r="94" spans="1:9" s="5" customFormat="1" x14ac:dyDescent="0.3">
      <c r="A94" s="101" t="s">
        <v>201</v>
      </c>
      <c r="B94" s="106">
        <f>SUM(B92:B93)</f>
        <v>72381</v>
      </c>
      <c r="C94" s="102"/>
      <c r="D94" s="107">
        <f>SUM(D92:D93)</f>
        <v>166966</v>
      </c>
      <c r="E94" s="26"/>
      <c r="F94" s="47"/>
      <c r="G94" s="47"/>
      <c r="H94" s="47"/>
      <c r="I94" s="47"/>
    </row>
    <row r="95" spans="1:9" s="5" customFormat="1" x14ac:dyDescent="0.3">
      <c r="A95" s="51"/>
      <c r="B95" s="72"/>
      <c r="C95" s="51"/>
      <c r="D95" s="72"/>
      <c r="E95" s="26"/>
      <c r="F95" s="47"/>
      <c r="G95" s="47"/>
      <c r="H95" s="47"/>
      <c r="I95" s="47"/>
    </row>
    <row r="96" spans="1:9" x14ac:dyDescent="0.3">
      <c r="A96" s="238" t="s">
        <v>26</v>
      </c>
      <c r="B96" s="73" t="s">
        <v>199</v>
      </c>
      <c r="C96" s="117"/>
      <c r="D96" s="75" t="s">
        <v>155</v>
      </c>
      <c r="E96" s="26"/>
    </row>
    <row r="97" spans="1:11" x14ac:dyDescent="0.3">
      <c r="A97" s="239"/>
      <c r="B97" s="82" t="s">
        <v>29</v>
      </c>
      <c r="C97" s="83"/>
      <c r="D97" s="84" t="s">
        <v>29</v>
      </c>
      <c r="E97" s="26"/>
    </row>
    <row r="98" spans="1:11" x14ac:dyDescent="0.3">
      <c r="A98" s="79" t="s">
        <v>16</v>
      </c>
      <c r="B98" s="85">
        <v>4628841</v>
      </c>
      <c r="C98" s="77"/>
      <c r="D98" s="86">
        <v>4442569</v>
      </c>
      <c r="E98" s="4"/>
    </row>
    <row r="99" spans="1:11" x14ac:dyDescent="0.3">
      <c r="A99" s="87" t="s">
        <v>57</v>
      </c>
      <c r="B99" s="85">
        <v>0</v>
      </c>
      <c r="C99" s="77"/>
      <c r="D99" s="86">
        <v>0</v>
      </c>
      <c r="E99" s="4"/>
    </row>
    <row r="100" spans="1:11" x14ac:dyDescent="0.3">
      <c r="A100" s="87" t="s">
        <v>17</v>
      </c>
      <c r="B100" s="85">
        <v>560754</v>
      </c>
      <c r="C100" s="77"/>
      <c r="D100" s="86">
        <v>523461</v>
      </c>
      <c r="E100" s="4"/>
    </row>
    <row r="101" spans="1:11" x14ac:dyDescent="0.3">
      <c r="A101" s="87" t="s">
        <v>38</v>
      </c>
      <c r="B101" s="85">
        <v>119846</v>
      </c>
      <c r="C101" s="77"/>
      <c r="D101" s="86">
        <v>105530</v>
      </c>
      <c r="E101" s="4"/>
    </row>
    <row r="102" spans="1:11" x14ac:dyDescent="0.3">
      <c r="A102" s="87" t="s">
        <v>19</v>
      </c>
      <c r="B102" s="85">
        <v>2864968</v>
      </c>
      <c r="C102" s="90"/>
      <c r="D102" s="86">
        <v>3192105</v>
      </c>
      <c r="E102" s="4"/>
    </row>
    <row r="103" spans="1:11" x14ac:dyDescent="0.3">
      <c r="A103" s="80" t="s">
        <v>99</v>
      </c>
      <c r="B103" s="182">
        <v>29831</v>
      </c>
      <c r="C103" s="81"/>
      <c r="D103" s="183">
        <v>34349</v>
      </c>
      <c r="E103" s="4"/>
    </row>
    <row r="104" spans="1:11" x14ac:dyDescent="0.3">
      <c r="A104" s="59" t="s">
        <v>39</v>
      </c>
      <c r="B104" s="60">
        <f>SUM(B98:B103)</f>
        <v>8204240</v>
      </c>
      <c r="C104" s="52"/>
      <c r="D104" s="61">
        <f>SUM(D98:D103)</f>
        <v>8298014</v>
      </c>
      <c r="E104" s="3"/>
    </row>
    <row r="105" spans="1:11" x14ac:dyDescent="0.3">
      <c r="D105" s="94"/>
    </row>
    <row r="107" spans="1:11" x14ac:dyDescent="0.3">
      <c r="A107" s="238" t="s">
        <v>26</v>
      </c>
      <c r="B107" s="73" t="s">
        <v>199</v>
      </c>
      <c r="C107" s="117"/>
      <c r="D107" s="75" t="s">
        <v>155</v>
      </c>
    </row>
    <row r="108" spans="1:11" x14ac:dyDescent="0.3">
      <c r="A108" s="239"/>
      <c r="B108" s="82" t="s">
        <v>29</v>
      </c>
      <c r="C108" s="83"/>
      <c r="D108" s="84" t="s">
        <v>29</v>
      </c>
    </row>
    <row r="109" spans="1:11" x14ac:dyDescent="0.3">
      <c r="A109" s="103" t="s">
        <v>19</v>
      </c>
      <c r="B109" s="92">
        <v>14327765</v>
      </c>
      <c r="C109" s="93"/>
      <c r="D109" s="111">
        <v>13115039</v>
      </c>
    </row>
    <row r="110" spans="1:11" x14ac:dyDescent="0.3">
      <c r="A110" s="59" t="s">
        <v>53</v>
      </c>
      <c r="B110" s="60">
        <f>SUM(B109)</f>
        <v>14327765</v>
      </c>
      <c r="C110" s="52"/>
      <c r="D110" s="61">
        <f>SUM(D109)</f>
        <v>13115039</v>
      </c>
    </row>
    <row r="111" spans="1:11" x14ac:dyDescent="0.3">
      <c r="F111" s="121"/>
      <c r="H111" s="122"/>
      <c r="J111" s="34"/>
      <c r="K111" s="34"/>
    </row>
    <row r="113" spans="1:4" x14ac:dyDescent="0.3">
      <c r="A113" s="238" t="s">
        <v>26</v>
      </c>
      <c r="B113" s="73" t="s">
        <v>199</v>
      </c>
      <c r="C113" s="117"/>
      <c r="D113" s="75" t="s">
        <v>155</v>
      </c>
    </row>
    <row r="114" spans="1:4" x14ac:dyDescent="0.3">
      <c r="A114" s="239"/>
      <c r="B114" s="82" t="s">
        <v>29</v>
      </c>
      <c r="C114" s="83"/>
      <c r="D114" s="84" t="s">
        <v>29</v>
      </c>
    </row>
    <row r="115" spans="1:4" x14ac:dyDescent="0.3">
      <c r="A115" s="142" t="s">
        <v>157</v>
      </c>
      <c r="B115" s="92">
        <v>-6137</v>
      </c>
      <c r="C115" s="93"/>
      <c r="D115" s="111">
        <v>0</v>
      </c>
    </row>
    <row r="116" spans="1:4" x14ac:dyDescent="0.3">
      <c r="A116" s="59" t="s">
        <v>35</v>
      </c>
      <c r="B116" s="60">
        <f>SUM(B115)</f>
        <v>-6137</v>
      </c>
      <c r="C116" s="52"/>
      <c r="D116" s="61">
        <f>SUM(D115)</f>
        <v>0</v>
      </c>
    </row>
    <row r="117" spans="1:4" x14ac:dyDescent="0.3">
      <c r="A117" s="2"/>
      <c r="B117" s="2"/>
      <c r="C117" s="2"/>
      <c r="D117" s="2"/>
    </row>
    <row r="118" spans="1:4" x14ac:dyDescent="0.3">
      <c r="A118" s="2"/>
      <c r="B118" s="2"/>
      <c r="C118" s="2"/>
      <c r="D118" s="2"/>
    </row>
    <row r="119" spans="1:4" x14ac:dyDescent="0.3">
      <c r="A119" s="2"/>
      <c r="B119" s="2"/>
      <c r="C119" s="2"/>
      <c r="D119" s="2"/>
    </row>
    <row r="120" spans="1:4" x14ac:dyDescent="0.3">
      <c r="A120" s="2"/>
      <c r="B120" s="2"/>
      <c r="C120" s="2"/>
      <c r="D120" s="2"/>
    </row>
    <row r="121" spans="1:4" x14ac:dyDescent="0.3">
      <c r="A121" s="2"/>
      <c r="B121" s="2"/>
      <c r="C121" s="2"/>
      <c r="D121" s="2"/>
    </row>
    <row r="122" spans="1:4" x14ac:dyDescent="0.3">
      <c r="A122" s="2"/>
      <c r="B122" s="2"/>
      <c r="C122" s="2"/>
      <c r="D122" s="2"/>
    </row>
    <row r="123" spans="1:4" x14ac:dyDescent="0.3">
      <c r="A123" s="2"/>
      <c r="B123" s="2"/>
      <c r="C123" s="2"/>
      <c r="D123" s="2"/>
    </row>
    <row r="124" spans="1:4" x14ac:dyDescent="0.3">
      <c r="A124" s="2"/>
      <c r="B124" s="2"/>
      <c r="C124" s="2"/>
      <c r="D124" s="2"/>
    </row>
    <row r="125" spans="1:4" x14ac:dyDescent="0.3">
      <c r="A125" s="2"/>
      <c r="B125" s="2"/>
      <c r="C125" s="2"/>
      <c r="D125" s="2"/>
    </row>
    <row r="126" spans="1:4" x14ac:dyDescent="0.3">
      <c r="A126" s="2"/>
      <c r="B126" s="2"/>
      <c r="C126" s="2"/>
      <c r="D126" s="2"/>
    </row>
    <row r="127" spans="1:4" x14ac:dyDescent="0.3">
      <c r="A127" s="2"/>
      <c r="B127" s="2"/>
      <c r="C127" s="2"/>
      <c r="D127" s="2"/>
    </row>
    <row r="128" spans="1:4" x14ac:dyDescent="0.3">
      <c r="A128" s="2"/>
      <c r="B128" s="2"/>
      <c r="C128" s="2"/>
      <c r="D128" s="2"/>
    </row>
    <row r="130" spans="1:4" x14ac:dyDescent="0.3">
      <c r="B130" s="88"/>
      <c r="D130" s="88"/>
    </row>
    <row r="131" spans="1:4" x14ac:dyDescent="0.3">
      <c r="A131" s="2"/>
      <c r="B131" s="2"/>
      <c r="C131" s="2"/>
      <c r="D131" s="2"/>
    </row>
    <row r="132" spans="1:4" x14ac:dyDescent="0.3">
      <c r="A132" s="2"/>
      <c r="B132" s="2"/>
      <c r="C132" s="2"/>
      <c r="D132" s="2"/>
    </row>
    <row r="133" spans="1:4" x14ac:dyDescent="0.3">
      <c r="A133" s="2"/>
      <c r="B133" s="2"/>
      <c r="C133" s="2"/>
      <c r="D133" s="2"/>
    </row>
    <row r="134" spans="1:4" x14ac:dyDescent="0.3">
      <c r="A134" s="2"/>
      <c r="B134" s="2"/>
      <c r="C134" s="2"/>
      <c r="D134" s="2"/>
    </row>
    <row r="135" spans="1:4" x14ac:dyDescent="0.3">
      <c r="A135" s="2"/>
      <c r="B135" s="2"/>
      <c r="C135" s="2"/>
      <c r="D135" s="2"/>
    </row>
    <row r="136" spans="1:4" x14ac:dyDescent="0.3">
      <c r="A136" s="2"/>
      <c r="B136" s="2"/>
      <c r="C136" s="2"/>
      <c r="D136" s="2"/>
    </row>
    <row r="137" spans="1:4" x14ac:dyDescent="0.3">
      <c r="A137" s="51"/>
      <c r="B137" s="72"/>
      <c r="C137" s="51"/>
      <c r="D137" s="72"/>
    </row>
    <row r="138" spans="1:4" x14ac:dyDescent="0.3">
      <c r="A138" s="51"/>
      <c r="B138" s="72"/>
      <c r="C138" s="51"/>
      <c r="D138" s="72"/>
    </row>
    <row r="139" spans="1:4" x14ac:dyDescent="0.3">
      <c r="A139" s="2"/>
      <c r="B139" s="2"/>
      <c r="C139" s="2"/>
      <c r="D139" s="2"/>
    </row>
    <row r="140" spans="1:4" x14ac:dyDescent="0.3">
      <c r="A140" s="2"/>
      <c r="B140" s="2"/>
      <c r="C140" s="2"/>
      <c r="D140" s="2"/>
    </row>
    <row r="141" spans="1:4" x14ac:dyDescent="0.3">
      <c r="A141" s="2"/>
      <c r="B141" s="2"/>
      <c r="C141" s="2"/>
      <c r="D141" s="2"/>
    </row>
    <row r="142" spans="1:4" x14ac:dyDescent="0.3">
      <c r="A142" s="2"/>
      <c r="B142" s="2"/>
      <c r="C142" s="2"/>
      <c r="D142" s="2"/>
    </row>
    <row r="143" spans="1:4" x14ac:dyDescent="0.3">
      <c r="A143" s="2"/>
      <c r="B143" s="2"/>
      <c r="C143" s="2"/>
      <c r="D143" s="2"/>
    </row>
    <row r="144" spans="1:4" x14ac:dyDescent="0.3">
      <c r="A144" s="51"/>
      <c r="B144" s="72"/>
      <c r="C144" s="51"/>
      <c r="D144" s="72"/>
    </row>
    <row r="146" spans="1:4" x14ac:dyDescent="0.3">
      <c r="A146" s="238" t="s">
        <v>69</v>
      </c>
      <c r="B146" s="73" t="s">
        <v>100</v>
      </c>
      <c r="C146" s="74"/>
      <c r="D146" s="75" t="s">
        <v>58</v>
      </c>
    </row>
    <row r="147" spans="1:4" x14ac:dyDescent="0.3">
      <c r="A147" s="239"/>
      <c r="B147" s="82" t="s">
        <v>29</v>
      </c>
      <c r="C147" s="83"/>
      <c r="D147" s="84" t="s">
        <v>29</v>
      </c>
    </row>
    <row r="148" spans="1:4" x14ac:dyDescent="0.3">
      <c r="A148" s="87" t="s">
        <v>16</v>
      </c>
      <c r="B148" s="95">
        <v>4321627</v>
      </c>
      <c r="C148" s="77"/>
      <c r="D148" s="86">
        <f>+'Est. Act. FESA'!I30</f>
        <v>3933920.5750000002</v>
      </c>
    </row>
    <row r="149" spans="1:4" x14ac:dyDescent="0.3">
      <c r="A149" s="87" t="s">
        <v>57</v>
      </c>
      <c r="B149" s="95">
        <v>25062</v>
      </c>
      <c r="C149" s="47"/>
      <c r="D149" s="97">
        <v>2853.2220000000002</v>
      </c>
    </row>
    <row r="150" spans="1:4" x14ac:dyDescent="0.3">
      <c r="A150" s="87" t="s">
        <v>17</v>
      </c>
      <c r="B150" s="95">
        <v>502434</v>
      </c>
      <c r="C150" s="47"/>
      <c r="D150" s="97">
        <v>185399.266</v>
      </c>
    </row>
    <row r="151" spans="1:4" x14ac:dyDescent="0.3">
      <c r="A151" s="87" t="s">
        <v>18</v>
      </c>
      <c r="B151" s="85">
        <f>+'Est. Act. FESA'!G33</f>
        <v>120755.09600000001</v>
      </c>
      <c r="C151" s="47"/>
      <c r="D151" s="97">
        <v>37360.449999999997</v>
      </c>
    </row>
    <row r="152" spans="1:4" x14ac:dyDescent="0.3">
      <c r="A152" s="87" t="s">
        <v>19</v>
      </c>
      <c r="B152" s="95">
        <v>2659866</v>
      </c>
      <c r="C152" s="47"/>
      <c r="D152" s="97">
        <v>773909.66399999999</v>
      </c>
    </row>
    <row r="153" spans="1:4" x14ac:dyDescent="0.3">
      <c r="A153" s="87" t="s">
        <v>99</v>
      </c>
      <c r="B153" s="95">
        <v>33753</v>
      </c>
      <c r="C153" s="77"/>
      <c r="D153" s="96">
        <v>0</v>
      </c>
    </row>
    <row r="154" spans="1:4" x14ac:dyDescent="0.3">
      <c r="A154" s="59" t="s">
        <v>106</v>
      </c>
      <c r="B154" s="112">
        <v>7642617</v>
      </c>
      <c r="C154" s="52"/>
      <c r="D154" s="113">
        <v>2281863.56586</v>
      </c>
    </row>
    <row r="155" spans="1:4" x14ac:dyDescent="0.3">
      <c r="A155" s="51"/>
      <c r="B155" s="114"/>
      <c r="C155" s="51"/>
      <c r="D155" s="115"/>
    </row>
    <row r="156" spans="1:4" x14ac:dyDescent="0.3">
      <c r="A156" s="51"/>
      <c r="B156" s="116"/>
      <c r="C156" s="51"/>
      <c r="D156" s="115"/>
    </row>
    <row r="157" spans="1:4" x14ac:dyDescent="0.3">
      <c r="A157" s="238" t="s">
        <v>69</v>
      </c>
      <c r="B157" s="73" t="s">
        <v>100</v>
      </c>
      <c r="C157" s="74"/>
      <c r="D157" s="75" t="s">
        <v>58</v>
      </c>
    </row>
    <row r="158" spans="1:4" x14ac:dyDescent="0.3">
      <c r="A158" s="239"/>
      <c r="B158" s="82" t="s">
        <v>29</v>
      </c>
      <c r="C158" s="83"/>
      <c r="D158" s="84" t="s">
        <v>29</v>
      </c>
    </row>
    <row r="159" spans="1:4" x14ac:dyDescent="0.3">
      <c r="A159" s="87" t="str">
        <f>+'[1]Est. Act. FESA'!B33</f>
        <v>Generales</v>
      </c>
      <c r="B159" s="95">
        <v>13271447</v>
      </c>
      <c r="C159" s="47"/>
      <c r="D159" s="86">
        <v>1691455.0930000001</v>
      </c>
    </row>
    <row r="160" spans="1:4" x14ac:dyDescent="0.3">
      <c r="A160" s="59" t="s">
        <v>107</v>
      </c>
      <c r="B160" s="60">
        <v>13271447</v>
      </c>
      <c r="C160" s="52"/>
      <c r="D160" s="61">
        <v>1691455.0930000001</v>
      </c>
    </row>
    <row r="163" spans="1:4" x14ac:dyDescent="0.3">
      <c r="A163" s="238" t="s">
        <v>69</v>
      </c>
      <c r="B163" s="73" t="s">
        <v>100</v>
      </c>
      <c r="C163" s="74"/>
      <c r="D163" s="75" t="s">
        <v>58</v>
      </c>
    </row>
    <row r="164" spans="1:4" x14ac:dyDescent="0.3">
      <c r="A164" s="239"/>
      <c r="B164" s="82" t="s">
        <v>29</v>
      </c>
      <c r="C164" s="83"/>
      <c r="D164" s="84" t="s">
        <v>29</v>
      </c>
    </row>
    <row r="165" spans="1:4" x14ac:dyDescent="0.3">
      <c r="A165" s="87" t="s">
        <v>96</v>
      </c>
      <c r="B165" s="95">
        <v>22720053</v>
      </c>
      <c r="C165" s="47"/>
      <c r="D165" s="96">
        <v>0</v>
      </c>
    </row>
    <row r="166" spans="1:4" x14ac:dyDescent="0.3">
      <c r="A166" s="59" t="s">
        <v>108</v>
      </c>
      <c r="B166" s="60">
        <v>22720053</v>
      </c>
      <c r="C166" s="52"/>
      <c r="D166" s="61">
        <v>0</v>
      </c>
    </row>
  </sheetData>
  <mergeCells count="27">
    <mergeCell ref="A52:A53"/>
    <mergeCell ref="A1:A2"/>
    <mergeCell ref="F1:F2"/>
    <mergeCell ref="G1:G2"/>
    <mergeCell ref="F6:G6"/>
    <mergeCell ref="A7:A8"/>
    <mergeCell ref="B9:B10"/>
    <mergeCell ref="D9:D10"/>
    <mergeCell ref="A24:A25"/>
    <mergeCell ref="A36:A37"/>
    <mergeCell ref="A44:A45"/>
    <mergeCell ref="A13:A14"/>
    <mergeCell ref="A18:A19"/>
    <mergeCell ref="A57:A58"/>
    <mergeCell ref="B63:B64"/>
    <mergeCell ref="D63:D64"/>
    <mergeCell ref="A66:A67"/>
    <mergeCell ref="A96:A97"/>
    <mergeCell ref="A71:A72"/>
    <mergeCell ref="A84:A85"/>
    <mergeCell ref="A79:A80"/>
    <mergeCell ref="A90:A91"/>
    <mergeCell ref="A146:A147"/>
    <mergeCell ref="A157:A158"/>
    <mergeCell ref="A163:A164"/>
    <mergeCell ref="A107:A108"/>
    <mergeCell ref="A113:A1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Balance </vt:lpstr>
      <vt:lpstr>Est. Act. FESA</vt:lpstr>
      <vt:lpstr>Est. Cambio Pat. </vt:lpstr>
      <vt:lpstr>Flujo de efectivo </vt:lpstr>
      <vt:lpstr>Hoja1 </vt:lpstr>
      <vt:lpstr>'Balance '!Área_de_impresión</vt:lpstr>
      <vt:lpstr>'Est. Act. FESA'!Área_de_impresión</vt:lpstr>
    </vt:vector>
  </TitlesOfParts>
  <Company>dnp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druiz</dc:creator>
  <cp:lastModifiedBy>Vivian Julie Jaramillo Lozano</cp:lastModifiedBy>
  <cp:lastPrinted>2015-11-04T19:34:04Z</cp:lastPrinted>
  <dcterms:created xsi:type="dcterms:W3CDTF">2012-07-04T15:01:27Z</dcterms:created>
  <dcterms:modified xsi:type="dcterms:W3CDTF">2017-01-06T15:54:34Z</dcterms:modified>
</cp:coreProperties>
</file>